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1400" windowHeight="5895"/>
  </bookViews>
  <sheets>
    <sheet name="TDSheet" sheetId="1" r:id="rId1"/>
  </sheets>
  <calcPr calcId="125725" refMode="R1C1"/>
</workbook>
</file>

<file path=xl/calcChain.xml><?xml version="1.0" encoding="utf-8"?>
<calcChain xmlns="http://schemas.openxmlformats.org/spreadsheetml/2006/main">
  <c r="V527" i="1"/>
  <c r="U527"/>
  <c r="U526"/>
  <c r="V525"/>
  <c r="U525"/>
  <c r="V524"/>
  <c r="U524"/>
  <c r="V523"/>
  <c r="U523"/>
  <c r="U522"/>
  <c r="V521"/>
  <c r="U521"/>
  <c r="V520"/>
  <c r="U520"/>
  <c r="V519"/>
  <c r="U519"/>
  <c r="V518"/>
  <c r="U518"/>
  <c r="U517"/>
  <c r="V516"/>
  <c r="U516"/>
  <c r="V515"/>
  <c r="U515"/>
  <c r="V514"/>
  <c r="U514"/>
  <c r="V513"/>
  <c r="U513"/>
  <c r="V512"/>
  <c r="U512"/>
  <c r="V511"/>
  <c r="U511"/>
  <c r="V510"/>
  <c r="U510"/>
  <c r="V509"/>
  <c r="U509"/>
  <c r="V508"/>
  <c r="U508"/>
  <c r="V507"/>
  <c r="U507"/>
  <c r="V506"/>
  <c r="U506"/>
  <c r="V505"/>
  <c r="U505"/>
  <c r="V504"/>
  <c r="U504"/>
  <c r="V503"/>
  <c r="U503"/>
  <c r="V502"/>
  <c r="U502"/>
  <c r="V501"/>
  <c r="U501"/>
  <c r="V500"/>
  <c r="U500"/>
  <c r="V499"/>
  <c r="U499"/>
  <c r="V498"/>
  <c r="U498"/>
  <c r="V497"/>
  <c r="U497"/>
  <c r="V496"/>
  <c r="U496"/>
  <c r="U495"/>
  <c r="V494"/>
  <c r="U494"/>
  <c r="V493"/>
  <c r="U493"/>
  <c r="V492"/>
  <c r="U492"/>
  <c r="V491"/>
  <c r="U491"/>
  <c r="V490"/>
  <c r="U490"/>
  <c r="V489"/>
  <c r="U489"/>
  <c r="V488"/>
  <c r="U488"/>
  <c r="V487"/>
  <c r="U487"/>
  <c r="V486"/>
  <c r="U486"/>
  <c r="V485"/>
  <c r="U485"/>
  <c r="V484"/>
  <c r="U484"/>
  <c r="V483"/>
  <c r="U483"/>
  <c r="V482"/>
  <c r="U482"/>
  <c r="V481"/>
  <c r="U481"/>
  <c r="V480"/>
  <c r="U480"/>
  <c r="V479"/>
  <c r="U479"/>
  <c r="V478"/>
  <c r="U478"/>
  <c r="V477"/>
  <c r="U477"/>
  <c r="V476"/>
  <c r="U476"/>
  <c r="V475"/>
  <c r="U475"/>
  <c r="V474"/>
  <c r="U474"/>
  <c r="V473"/>
  <c r="U473"/>
  <c r="V472"/>
  <c r="U472"/>
  <c r="V471"/>
  <c r="U471"/>
  <c r="V470"/>
  <c r="U470"/>
  <c r="V469"/>
  <c r="U469"/>
  <c r="V468"/>
  <c r="U468"/>
  <c r="U467"/>
  <c r="V466"/>
  <c r="U466"/>
  <c r="V465"/>
  <c r="U465"/>
  <c r="V464"/>
  <c r="U464"/>
  <c r="V463"/>
  <c r="U463"/>
  <c r="V462"/>
  <c r="U462"/>
  <c r="V461"/>
  <c r="U461"/>
  <c r="V460"/>
  <c r="U460"/>
  <c r="V459"/>
  <c r="U459"/>
  <c r="V458"/>
  <c r="U458"/>
  <c r="V457"/>
  <c r="U457"/>
  <c r="V456"/>
  <c r="U456"/>
  <c r="V455"/>
  <c r="U455"/>
  <c r="V454"/>
  <c r="U454"/>
  <c r="V453"/>
  <c r="U453"/>
  <c r="V452"/>
  <c r="V451"/>
  <c r="U451"/>
  <c r="V450"/>
  <c r="U450"/>
  <c r="U449"/>
  <c r="V448"/>
  <c r="U448"/>
  <c r="V447"/>
  <c r="U447"/>
  <c r="V446"/>
  <c r="U446"/>
  <c r="V445"/>
  <c r="U445"/>
  <c r="V444"/>
  <c r="U444"/>
  <c r="V443"/>
  <c r="U443"/>
  <c r="V442"/>
  <c r="U442"/>
  <c r="V441"/>
  <c r="U441"/>
  <c r="V440"/>
  <c r="U440"/>
  <c r="V439"/>
  <c r="U439"/>
  <c r="V438"/>
  <c r="U438"/>
  <c r="V437"/>
  <c r="U437"/>
  <c r="V436"/>
  <c r="U436"/>
  <c r="U435"/>
  <c r="V434"/>
  <c r="U434"/>
  <c r="V433"/>
  <c r="U433"/>
  <c r="V432"/>
  <c r="U432"/>
  <c r="V431"/>
  <c r="U431"/>
  <c r="V430"/>
  <c r="U430"/>
  <c r="V429"/>
  <c r="U429"/>
  <c r="V428"/>
  <c r="U428"/>
  <c r="U427"/>
  <c r="V426"/>
  <c r="U426"/>
  <c r="V425"/>
  <c r="U425"/>
  <c r="V424"/>
  <c r="U424"/>
  <c r="V423"/>
  <c r="U423"/>
  <c r="V422"/>
  <c r="U422"/>
  <c r="V421"/>
  <c r="U421"/>
  <c r="V420"/>
  <c r="U420"/>
  <c r="V419"/>
  <c r="U419"/>
  <c r="V418"/>
  <c r="U418"/>
  <c r="V417"/>
  <c r="U417"/>
  <c r="V416"/>
  <c r="U416"/>
  <c r="U415"/>
  <c r="V414"/>
  <c r="U414"/>
  <c r="V413"/>
  <c r="U413"/>
  <c r="V412"/>
  <c r="U412"/>
  <c r="V411"/>
  <c r="U411"/>
  <c r="V410"/>
  <c r="U410"/>
  <c r="V409"/>
  <c r="U409"/>
  <c r="V408"/>
  <c r="U408"/>
  <c r="V407"/>
  <c r="U407"/>
  <c r="V406"/>
  <c r="U406"/>
  <c r="V405"/>
  <c r="U405"/>
  <c r="V404"/>
  <c r="U404"/>
  <c r="V403"/>
  <c r="U403"/>
  <c r="V402"/>
  <c r="U402"/>
  <c r="V401"/>
  <c r="U401"/>
  <c r="V400"/>
  <c r="U400"/>
  <c r="V399"/>
  <c r="U399"/>
  <c r="V398"/>
  <c r="U398"/>
  <c r="V397"/>
  <c r="U397"/>
  <c r="V396"/>
  <c r="U396"/>
  <c r="V395"/>
  <c r="U395"/>
  <c r="V394"/>
  <c r="U394"/>
  <c r="V393"/>
  <c r="U393"/>
  <c r="V392"/>
  <c r="U392"/>
  <c r="V391"/>
  <c r="U391"/>
  <c r="V390"/>
  <c r="U390"/>
  <c r="V389"/>
  <c r="U389"/>
  <c r="V388"/>
  <c r="U388"/>
  <c r="V387"/>
  <c r="U387"/>
  <c r="U386"/>
  <c r="V385"/>
  <c r="U385"/>
  <c r="V384"/>
  <c r="U384"/>
  <c r="V383"/>
  <c r="U383"/>
  <c r="V382"/>
  <c r="U382"/>
  <c r="V381"/>
  <c r="U381"/>
  <c r="V380"/>
  <c r="U380"/>
  <c r="V379"/>
  <c r="U379"/>
  <c r="V378"/>
  <c r="U378"/>
  <c r="V377"/>
  <c r="U377"/>
  <c r="V376"/>
  <c r="U376"/>
  <c r="V375"/>
  <c r="U375"/>
  <c r="V374"/>
  <c r="U374"/>
  <c r="V373"/>
  <c r="U373"/>
  <c r="V372"/>
  <c r="U372"/>
  <c r="V371"/>
  <c r="U371"/>
  <c r="V370"/>
  <c r="U370"/>
  <c r="V369"/>
  <c r="U369"/>
  <c r="V368"/>
  <c r="U368"/>
  <c r="V367"/>
  <c r="U367"/>
  <c r="V366"/>
  <c r="U366"/>
  <c r="V365"/>
  <c r="U365"/>
  <c r="V364"/>
  <c r="U364"/>
  <c r="V363"/>
  <c r="U363"/>
  <c r="V362"/>
  <c r="U362"/>
  <c r="V361"/>
  <c r="U361"/>
  <c r="V360"/>
  <c r="V359"/>
  <c r="U359"/>
  <c r="V358"/>
  <c r="U358"/>
  <c r="V357"/>
  <c r="U357"/>
  <c r="V356"/>
  <c r="U356"/>
  <c r="V355"/>
  <c r="U355"/>
  <c r="V354"/>
  <c r="U354"/>
  <c r="V353"/>
  <c r="U353"/>
  <c r="V352"/>
  <c r="U352"/>
  <c r="V351"/>
  <c r="U351"/>
  <c r="V350"/>
  <c r="U350"/>
  <c r="V349"/>
  <c r="U349"/>
  <c r="V348"/>
  <c r="U348"/>
  <c r="V347"/>
  <c r="U347"/>
  <c r="V346"/>
  <c r="U346"/>
  <c r="V345"/>
  <c r="V344"/>
  <c r="U344"/>
  <c r="V343"/>
  <c r="U343"/>
  <c r="V342"/>
  <c r="U342"/>
  <c r="V341"/>
  <c r="U341"/>
  <c r="V340"/>
  <c r="U340"/>
  <c r="V339"/>
  <c r="U339"/>
  <c r="V338"/>
  <c r="U338"/>
  <c r="V337"/>
  <c r="U337"/>
  <c r="V336"/>
  <c r="U336"/>
  <c r="V335"/>
  <c r="U335"/>
  <c r="V334"/>
  <c r="U334"/>
  <c r="V333"/>
  <c r="U333"/>
  <c r="V332"/>
  <c r="U332"/>
  <c r="V331"/>
  <c r="U331"/>
  <c r="V330"/>
  <c r="U330"/>
  <c r="V329"/>
  <c r="U329"/>
  <c r="V328"/>
  <c r="U328"/>
  <c r="V327"/>
  <c r="U327"/>
  <c r="V326"/>
  <c r="U326"/>
  <c r="V325"/>
  <c r="U325"/>
  <c r="V324"/>
  <c r="U324"/>
  <c r="V323"/>
  <c r="U323"/>
  <c r="V322"/>
  <c r="U322"/>
  <c r="V321"/>
  <c r="U321"/>
  <c r="V320"/>
  <c r="U320"/>
  <c r="V319"/>
  <c r="U319"/>
  <c r="V318"/>
  <c r="V317"/>
  <c r="U317"/>
  <c r="V316"/>
  <c r="U316"/>
  <c r="V315"/>
  <c r="U315"/>
  <c r="V314"/>
  <c r="U314"/>
  <c r="V313"/>
  <c r="U313"/>
  <c r="V312"/>
  <c r="U312"/>
  <c r="V311"/>
  <c r="U311"/>
  <c r="V310"/>
  <c r="U310"/>
  <c r="V309"/>
  <c r="U309"/>
  <c r="V308"/>
  <c r="U308"/>
  <c r="V307"/>
  <c r="U307"/>
  <c r="V306"/>
  <c r="U306"/>
  <c r="U305"/>
  <c r="V304"/>
  <c r="U304"/>
  <c r="V303"/>
  <c r="U303"/>
  <c r="V302"/>
  <c r="U302"/>
  <c r="V301"/>
  <c r="U301"/>
  <c r="V300"/>
  <c r="U300"/>
  <c r="V299"/>
  <c r="U299"/>
  <c r="V298"/>
  <c r="U298"/>
  <c r="V297"/>
  <c r="U297"/>
  <c r="V296"/>
  <c r="U296"/>
  <c r="V295"/>
  <c r="U295"/>
  <c r="V294"/>
  <c r="U294"/>
  <c r="V293"/>
  <c r="U293"/>
  <c r="V292"/>
  <c r="U292"/>
  <c r="V291"/>
  <c r="U291"/>
  <c r="V290"/>
  <c r="U290"/>
  <c r="V289"/>
  <c r="U289"/>
  <c r="V288"/>
  <c r="U288"/>
  <c r="V287"/>
  <c r="U287"/>
  <c r="U286"/>
  <c r="V285"/>
  <c r="U285"/>
  <c r="V284"/>
  <c r="U284"/>
  <c r="V283"/>
  <c r="U283"/>
  <c r="V282"/>
  <c r="U282"/>
  <c r="V281"/>
  <c r="U281"/>
  <c r="V280"/>
  <c r="U280"/>
  <c r="V279"/>
  <c r="U279"/>
  <c r="V278"/>
  <c r="U278"/>
  <c r="V277"/>
  <c r="U277"/>
  <c r="V276"/>
  <c r="U276"/>
  <c r="V275"/>
  <c r="U275"/>
  <c r="V274"/>
  <c r="U274"/>
  <c r="V273"/>
  <c r="U273"/>
  <c r="V272"/>
  <c r="U272"/>
  <c r="V271"/>
  <c r="U271"/>
  <c r="V270"/>
  <c r="U270"/>
  <c r="V269"/>
  <c r="U269"/>
  <c r="V268"/>
  <c r="U268"/>
  <c r="V267"/>
  <c r="U267"/>
  <c r="V266"/>
  <c r="U266"/>
  <c r="V265"/>
  <c r="U265"/>
  <c r="V264"/>
  <c r="U264"/>
  <c r="V263"/>
  <c r="U263"/>
  <c r="V262"/>
  <c r="U262"/>
  <c r="V261"/>
  <c r="U261"/>
  <c r="V260"/>
  <c r="U260"/>
  <c r="V259"/>
  <c r="U259"/>
  <c r="V258"/>
  <c r="U258"/>
  <c r="V257"/>
  <c r="U257"/>
  <c r="V256"/>
  <c r="U256"/>
  <c r="V255"/>
  <c r="U255"/>
  <c r="V254"/>
  <c r="U254"/>
  <c r="V253"/>
  <c r="U253"/>
  <c r="V252"/>
  <c r="U252"/>
  <c r="V251"/>
  <c r="U251"/>
  <c r="V250"/>
  <c r="U250"/>
  <c r="V249"/>
  <c r="U249"/>
  <c r="V248"/>
  <c r="U248"/>
  <c r="V247"/>
  <c r="U247"/>
  <c r="V246"/>
  <c r="U246"/>
  <c r="V245"/>
  <c r="U245"/>
  <c r="V244"/>
  <c r="U244"/>
  <c r="V243"/>
  <c r="U243"/>
  <c r="V242"/>
  <c r="U242"/>
  <c r="V241"/>
  <c r="U241"/>
  <c r="V240"/>
  <c r="U240"/>
  <c r="V239"/>
  <c r="U239"/>
  <c r="V238"/>
  <c r="U238"/>
  <c r="V237"/>
  <c r="U237"/>
  <c r="V236"/>
  <c r="U236"/>
  <c r="V235"/>
  <c r="U235"/>
  <c r="V234"/>
  <c r="U234"/>
  <c r="V233"/>
  <c r="U233"/>
  <c r="V232"/>
  <c r="U232"/>
  <c r="V231"/>
  <c r="U231"/>
  <c r="V230"/>
  <c r="U230"/>
  <c r="V229"/>
  <c r="U229"/>
  <c r="V228"/>
  <c r="U228"/>
  <c r="V227"/>
  <c r="U227"/>
  <c r="V226"/>
  <c r="U226"/>
  <c r="V225"/>
  <c r="U225"/>
  <c r="V224"/>
  <c r="U224"/>
  <c r="V223"/>
  <c r="U223"/>
  <c r="V222"/>
  <c r="U222"/>
  <c r="V221"/>
  <c r="U221"/>
  <c r="V220"/>
  <c r="U220"/>
  <c r="V219"/>
  <c r="U219"/>
  <c r="V218"/>
  <c r="U218"/>
  <c r="V217"/>
  <c r="U217"/>
  <c r="V216"/>
  <c r="U216"/>
  <c r="V215"/>
  <c r="U215"/>
  <c r="V214"/>
  <c r="U214"/>
  <c r="V213"/>
  <c r="U213"/>
  <c r="V212"/>
  <c r="U212"/>
  <c r="V211"/>
  <c r="U211"/>
  <c r="V210"/>
  <c r="U210"/>
  <c r="V209"/>
  <c r="U209"/>
  <c r="V208"/>
  <c r="U208"/>
  <c r="V207"/>
  <c r="U207"/>
  <c r="V206"/>
  <c r="U206"/>
  <c r="V205"/>
  <c r="U205"/>
  <c r="V204"/>
  <c r="U204"/>
  <c r="V203"/>
  <c r="U203"/>
  <c r="V202"/>
  <c r="U202"/>
  <c r="V201"/>
  <c r="U201"/>
  <c r="V200"/>
  <c r="U200"/>
  <c r="V199"/>
  <c r="U199"/>
  <c r="V198"/>
  <c r="U198"/>
  <c r="V197"/>
  <c r="U197"/>
  <c r="V196"/>
  <c r="U196"/>
  <c r="V195"/>
  <c r="U195"/>
  <c r="V194"/>
  <c r="V193"/>
  <c r="U193"/>
  <c r="V192"/>
  <c r="U192"/>
  <c r="V191"/>
  <c r="U191"/>
  <c r="V190"/>
  <c r="U190"/>
  <c r="V189"/>
  <c r="U189"/>
  <c r="V188"/>
  <c r="U188"/>
  <c r="V187"/>
  <c r="U187"/>
  <c r="V186"/>
  <c r="U186"/>
  <c r="V185"/>
  <c r="U185"/>
  <c r="V184"/>
  <c r="U184"/>
  <c r="V183"/>
  <c r="U183"/>
  <c r="V182"/>
  <c r="U182"/>
  <c r="V181"/>
  <c r="U181"/>
  <c r="V180"/>
  <c r="U180"/>
  <c r="V179"/>
  <c r="U179"/>
  <c r="V178"/>
  <c r="U178"/>
  <c r="V177"/>
  <c r="U177"/>
  <c r="V176"/>
  <c r="U176"/>
  <c r="V175"/>
  <c r="U175"/>
  <c r="V174"/>
  <c r="U174"/>
  <c r="V173"/>
  <c r="U173"/>
  <c r="V172"/>
  <c r="U172"/>
  <c r="V171"/>
  <c r="U171"/>
  <c r="V170"/>
  <c r="U170"/>
  <c r="V169"/>
  <c r="U169"/>
  <c r="V168"/>
  <c r="U168"/>
  <c r="U167"/>
  <c r="V166"/>
  <c r="U166"/>
  <c r="V165"/>
  <c r="U165"/>
  <c r="V164"/>
  <c r="U164"/>
  <c r="V163"/>
  <c r="U163"/>
  <c r="V162"/>
  <c r="U162"/>
  <c r="V161"/>
  <c r="U161"/>
  <c r="V160"/>
  <c r="U160"/>
  <c r="V159"/>
  <c r="U159"/>
  <c r="V158"/>
  <c r="U158"/>
  <c r="V157"/>
  <c r="U157"/>
  <c r="V156"/>
  <c r="U156"/>
  <c r="V155"/>
  <c r="U155"/>
  <c r="V154"/>
  <c r="U154"/>
  <c r="V153"/>
  <c r="U153"/>
  <c r="V152"/>
  <c r="U152"/>
  <c r="V151"/>
  <c r="U151"/>
  <c r="V150"/>
  <c r="U150"/>
  <c r="V149"/>
  <c r="U149"/>
  <c r="V148"/>
  <c r="U148"/>
  <c r="V147"/>
  <c r="U147"/>
  <c r="V146"/>
  <c r="U146"/>
  <c r="V145"/>
  <c r="U145"/>
  <c r="V144"/>
  <c r="U144"/>
  <c r="V143"/>
  <c r="U143"/>
  <c r="V142"/>
  <c r="U142"/>
  <c r="V141"/>
  <c r="U141"/>
  <c r="V140"/>
  <c r="U140"/>
  <c r="V139"/>
  <c r="U139"/>
  <c r="V138"/>
  <c r="U138"/>
  <c r="U137"/>
  <c r="V136"/>
  <c r="U136"/>
  <c r="V135"/>
  <c r="U135"/>
  <c r="V134"/>
  <c r="U134"/>
  <c r="V133"/>
  <c r="U133"/>
  <c r="U132"/>
  <c r="V131"/>
  <c r="U131"/>
  <c r="V130"/>
  <c r="U130"/>
  <c r="U129"/>
  <c r="V128"/>
  <c r="U128"/>
  <c r="V127"/>
  <c r="U127"/>
  <c r="V126"/>
  <c r="U126"/>
  <c r="V125"/>
  <c r="U125"/>
  <c r="V124"/>
  <c r="U124"/>
  <c r="V123"/>
  <c r="U123"/>
  <c r="V122"/>
  <c r="U122"/>
  <c r="V121"/>
  <c r="U121"/>
  <c r="U120"/>
  <c r="V119"/>
  <c r="U119"/>
  <c r="V118"/>
  <c r="U118"/>
  <c r="V117"/>
  <c r="U117"/>
  <c r="V116"/>
  <c r="U116"/>
  <c r="V115"/>
  <c r="U115"/>
  <c r="U114"/>
  <c r="V113"/>
  <c r="U113"/>
  <c r="V112"/>
  <c r="U112"/>
  <c r="V111"/>
  <c r="U111"/>
  <c r="V110"/>
  <c r="U110"/>
  <c r="V109"/>
  <c r="U109"/>
  <c r="V108"/>
  <c r="U108"/>
  <c r="V107"/>
  <c r="U107"/>
  <c r="V106"/>
  <c r="U106"/>
  <c r="V105"/>
  <c r="U105"/>
  <c r="V104"/>
  <c r="U104"/>
  <c r="V103"/>
  <c r="U103"/>
  <c r="V102"/>
  <c r="U102"/>
  <c r="V101"/>
  <c r="U101"/>
  <c r="V100"/>
  <c r="U100"/>
  <c r="V99"/>
  <c r="U99"/>
  <c r="V98"/>
  <c r="U98"/>
  <c r="V97"/>
  <c r="U97"/>
  <c r="U96"/>
  <c r="V95"/>
  <c r="U95"/>
  <c r="V94"/>
  <c r="U94"/>
  <c r="V93"/>
  <c r="U93"/>
  <c r="V92"/>
  <c r="U92"/>
  <c r="V91"/>
  <c r="U91"/>
  <c r="V90"/>
  <c r="U90"/>
  <c r="V89"/>
  <c r="U89"/>
  <c r="V88"/>
  <c r="U88"/>
  <c r="V87"/>
  <c r="U87"/>
  <c r="V86"/>
  <c r="U86"/>
  <c r="V85"/>
  <c r="U85"/>
  <c r="V84"/>
  <c r="U84"/>
  <c r="V83"/>
  <c r="U83"/>
  <c r="V82"/>
  <c r="U82"/>
  <c r="V81"/>
  <c r="U81"/>
  <c r="V80"/>
  <c r="U80"/>
  <c r="V79"/>
  <c r="U79"/>
  <c r="V78"/>
  <c r="U78"/>
  <c r="V77"/>
  <c r="U77"/>
  <c r="V76"/>
  <c r="U76"/>
  <c r="V75"/>
  <c r="U75"/>
  <c r="V74"/>
  <c r="U74"/>
  <c r="V73"/>
  <c r="U73"/>
  <c r="V72"/>
  <c r="U72"/>
  <c r="V71"/>
  <c r="U71"/>
  <c r="V70"/>
  <c r="U70"/>
  <c r="V69"/>
  <c r="U69"/>
  <c r="V68"/>
  <c r="U68"/>
  <c r="U67"/>
  <c r="V66"/>
  <c r="U66"/>
  <c r="V65"/>
  <c r="U65"/>
  <c r="V64"/>
  <c r="U64"/>
  <c r="V63"/>
  <c r="U63"/>
  <c r="V62"/>
  <c r="U62"/>
  <c r="V61"/>
  <c r="U61"/>
  <c r="V60"/>
  <c r="U60"/>
  <c r="V59"/>
  <c r="U59"/>
  <c r="V58"/>
  <c r="U58"/>
  <c r="V57"/>
  <c r="U57"/>
  <c r="V56"/>
  <c r="U56"/>
  <c r="V55"/>
  <c r="U55"/>
  <c r="V54"/>
  <c r="U54"/>
  <c r="V53"/>
  <c r="U53"/>
  <c r="V52"/>
  <c r="U52"/>
  <c r="V51"/>
  <c r="U51"/>
  <c r="V50"/>
  <c r="U50"/>
  <c r="V49"/>
  <c r="U49"/>
  <c r="V48"/>
  <c r="U48"/>
  <c r="V47"/>
  <c r="U47"/>
  <c r="V46"/>
  <c r="U46"/>
  <c r="V45"/>
  <c r="U45"/>
  <c r="V44"/>
  <c r="U44"/>
  <c r="V43"/>
  <c r="U43"/>
  <c r="V42"/>
  <c r="U42"/>
  <c r="V41"/>
  <c r="V40"/>
  <c r="U40"/>
  <c r="V39"/>
  <c r="U39"/>
  <c r="V38"/>
  <c r="U38"/>
  <c r="V37"/>
  <c r="U37"/>
  <c r="V36"/>
  <c r="U36"/>
  <c r="V35"/>
  <c r="U35"/>
  <c r="V34"/>
  <c r="U34"/>
  <c r="V33"/>
  <c r="U33"/>
  <c r="V32"/>
  <c r="U32"/>
  <c r="V31"/>
  <c r="U31"/>
  <c r="V30"/>
  <c r="U30"/>
  <c r="V29"/>
  <c r="U29"/>
  <c r="V28"/>
  <c r="U28"/>
  <c r="V27"/>
  <c r="U27"/>
  <c r="V26"/>
  <c r="U26"/>
  <c r="V25"/>
  <c r="U25"/>
  <c r="V24"/>
  <c r="U24"/>
  <c r="V23"/>
  <c r="U23"/>
  <c r="V22"/>
  <c r="U22"/>
  <c r="V21"/>
  <c r="U21"/>
  <c r="V20"/>
  <c r="U20"/>
  <c r="V19"/>
  <c r="U19"/>
  <c r="V18"/>
  <c r="U18"/>
  <c r="V17"/>
  <c r="U17"/>
  <c r="V16"/>
  <c r="U16"/>
  <c r="V15"/>
  <c r="U15"/>
  <c r="V14"/>
  <c r="U14"/>
  <c r="V13"/>
  <c r="U13"/>
  <c r="U12"/>
  <c r="V11"/>
  <c r="U11"/>
  <c r="V10"/>
  <c r="U10"/>
  <c r="V9"/>
  <c r="U9"/>
  <c r="V8"/>
  <c r="U8"/>
  <c r="A5"/>
  <c r="A4"/>
</calcChain>
</file>

<file path=xl/sharedStrings.xml><?xml version="1.0" encoding="utf-8"?>
<sst xmlns="http://schemas.openxmlformats.org/spreadsheetml/2006/main" count="9047" uniqueCount="4087">
  <si>
    <t>ИНФРА-М Научно-издательский Центр</t>
  </si>
  <si>
    <t>09. Психология и педагогика (для учебных заведений и библиотек)
от 31.10.2023</t>
  </si>
  <si>
    <t>Данный прайс-лист не является публичной офертой</t>
  </si>
  <si>
    <t>127214, Москва г, Полярная ул, дом № 31 В, строение 1 эт.3 пом.I.к.9Б</t>
  </si>
  <si>
    <t>Издательство оставляет за собой право на изменение ассортимента и цен на издания.
Информацию о наличии товара и актуальные цены уточняйте у вашего курирующего менеджера 
или напишите нам на электронную почту books@infra-m.ru</t>
  </si>
  <si>
    <t>тел/факс: +7 (495) 280-15-96</t>
  </si>
  <si>
    <t>Заказ</t>
  </si>
  <si>
    <t>Код</t>
  </si>
  <si>
    <t>Цена опт.</t>
  </si>
  <si>
    <t>Наименование товара</t>
  </si>
  <si>
    <t>Основное заглавие</t>
  </si>
  <si>
    <t>Авторы</t>
  </si>
  <si>
    <t>Оформление</t>
  </si>
  <si>
    <t>Издательство</t>
  </si>
  <si>
    <t>Серия</t>
  </si>
  <si>
    <t>Ст-т</t>
  </si>
  <si>
    <t>Стр.</t>
  </si>
  <si>
    <t>Год</t>
  </si>
  <si>
    <t>ISBN</t>
  </si>
  <si>
    <t>Раздел</t>
  </si>
  <si>
    <t>Подраздел</t>
  </si>
  <si>
    <t>Вид издания</t>
  </si>
  <si>
    <t>Уровень образования</t>
  </si>
  <si>
    <t>ОКСО</t>
  </si>
  <si>
    <t>Гриф МО</t>
  </si>
  <si>
    <t>Доп. мат. на znanium.com</t>
  </si>
  <si>
    <t>Обложка</t>
  </si>
  <si>
    <t>ЭБС Znanium.com</t>
  </si>
  <si>
    <t>Аффилиация автора</t>
  </si>
  <si>
    <t>Новинка месяца</t>
  </si>
  <si>
    <t>ПООП</t>
  </si>
  <si>
    <t>К</t>
  </si>
  <si>
    <t>Ш</t>
  </si>
  <si>
    <t>640367.04.01</t>
  </si>
  <si>
    <t>"От малышек до  подготовишек". Система работы по разв...: Пос. / Т.А.Серебрякова -М.:НИЦ ИНФРА-М,2022-509с.(Практ. педагогика)(П)</t>
  </si>
  <si>
    <t>"ОТ МАЛЫШЕК ДО  ПОДГОТОВИШЕК". СИСТЕМА РАБОТЫ ПО РАЗВИТИЮ СОЦИАЛЬНО-ЛИЧНОСТНОЙ СФЕРЫ ДЕТЕЙ ДОШКОЛЬНОГО ВОЗРАСТА</t>
  </si>
  <si>
    <t>Серебрякова Т.А., Волгина В.С., Хворостинина Н.В.</t>
  </si>
  <si>
    <t>Переплет 7БЦ/Без шитья</t>
  </si>
  <si>
    <t>НИЦ ИНФРА-М</t>
  </si>
  <si>
    <t>Практическая педагогика</t>
  </si>
  <si>
    <t>978-5-16-012412-4</t>
  </si>
  <si>
    <t>ЛИТЕРАТУРА ДЛЯ СРЕДНЕЙ ШКОЛЫ И АБИТУРИЕНТОВ. ПЕДАГОГИКА</t>
  </si>
  <si>
    <t>Педагогика. Образование</t>
  </si>
  <si>
    <t>Пособие</t>
  </si>
  <si>
    <t>Дополнительное образование / Дополнительное профессиональное образование</t>
  </si>
  <si>
    <t>44.04.02, 44.04.01, 44.03.01, 44.03.05, 44.03.04, 44.03.02</t>
  </si>
  <si>
    <t>ДА</t>
  </si>
  <si>
    <t>Нижегородский государственный педагогический университет им. К. Минина</t>
  </si>
  <si>
    <t>0117</t>
  </si>
  <si>
    <t>776902.02.01</t>
  </si>
  <si>
    <t>"Человек самоорганизующийся". Психология взаимодейств..: Моногр. / В.В.Гребнева-М.:НИЦ ИНФРА-М,2023-342с.(о)</t>
  </si>
  <si>
    <t>"ЧЕЛОВЕК САМООРГАНИЗУЮЩИЙСЯ". ПСИХОЛОГИЯ ВЗАИМОДЕЙСТВИЯ В СФЕРЕ ВЫСШЕГО ОБРАЗОВАНИЯ</t>
  </si>
  <si>
    <t>Гребнева В.В.</t>
  </si>
  <si>
    <t>Обложка. КБС</t>
  </si>
  <si>
    <t>Научная мысль</t>
  </si>
  <si>
    <t>978-5-16-017671-0</t>
  </si>
  <si>
    <t>ГУМАНИТАРНЫЕ НАУКИ. РЕЛИГИЯ. ИСКУССТВО</t>
  </si>
  <si>
    <t>Психология</t>
  </si>
  <si>
    <t>Монография</t>
  </si>
  <si>
    <t>37.04.01, 37.05.02, 37.06.01</t>
  </si>
  <si>
    <t>Белгородский государственный национальный исследовательский университет</t>
  </si>
  <si>
    <t>0123</t>
  </si>
  <si>
    <t>684155.03.01</t>
  </si>
  <si>
    <t>Per aspera ad astra. Взаимоот.педагогов и уч. в отечест: Моногр. / О.А.Грива - М.:НИЦ ИНФРА-М,2022 - 143 с.(О)</t>
  </si>
  <si>
    <t>PER ASPERA AD ASTRA. ВЗАИМООТНОШЕНИЯ ПЕДАГОГОВ И УЧАЩИХСЯ В ОТЕЧЕСТВЕННОЙ ГИМНАЗИИ ВО ВТОРОЙ ПОЛОВИНЕ XIX - НАЧАЛЕ XX ВЕКА</t>
  </si>
  <si>
    <t>Грива О.А.</t>
  </si>
  <si>
    <t>Научная мысль - 100 лет КрымФУ</t>
  </si>
  <si>
    <t>978-5-16-014206-7</t>
  </si>
  <si>
    <t>44.04.01, 44.03.01, 44.03.05</t>
  </si>
  <si>
    <t>Крымский федеральный университет им. В.И. Вернадского</t>
  </si>
  <si>
    <t>0119</t>
  </si>
  <si>
    <t>682815.06.01</t>
  </si>
  <si>
    <t>Аддиктология. Теоретические и эксперимент...: Уч.пос. / Е.И.Николаева-М.:ИНФРА-М,2024-209 с.(СПО)(п)</t>
  </si>
  <si>
    <t>АДДИКТОЛОГИЯ. ТЕОРЕТИЧЕСКИЕ И ЭКСПЕРИМЕНТАЛЬНЫЕ ИССЛЕДОВАНИЯ ФОРМИРОВАНИЯ АДДИКЦИИ</t>
  </si>
  <si>
    <t>Николаева Е.И., Каменская В.Г.</t>
  </si>
  <si>
    <t>Среднее профессиональное образование</t>
  </si>
  <si>
    <t>978-5-16-017022-0</t>
  </si>
  <si>
    <t>Учебное пособие</t>
  </si>
  <si>
    <t>Профессиональное образование / Среднее профессиональное образование</t>
  </si>
  <si>
    <t>40.02.02, 44.02.02, 44.02.04, 44.02.05</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</si>
  <si>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специальностям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t>
  </si>
  <si>
    <t>Российский государственный педагогический университет им. А.И. Герцена</t>
  </si>
  <si>
    <t>32</t>
  </si>
  <si>
    <t>0118</t>
  </si>
  <si>
    <t>151400.10.01</t>
  </si>
  <si>
    <t>Аддиктология. Теоретические и экспериментальные... / Е.И.Николаева - М.: Форум, 2023-208с. (о)</t>
  </si>
  <si>
    <t>Николаева Е. И., Каменская В. Г.</t>
  </si>
  <si>
    <t>Форум</t>
  </si>
  <si>
    <t>978-5-91134-508-2</t>
  </si>
  <si>
    <t>Профессиональное образование / ВО - Бакалавриат</t>
  </si>
  <si>
    <t>37.03.01, 44.05.01, 44.03.02, 39.03.02</t>
  </si>
  <si>
    <t>Допущено Учебно-методическим объединением по направлениям педагогического образования в качестве учебника для студентов высших учебных заведений, обучающихся по направлению 050700 "Педагогика"</t>
  </si>
  <si>
    <t>0111</t>
  </si>
  <si>
    <t>421950.06.01</t>
  </si>
  <si>
    <t>Азбука психологии: Уч.пос.для студентов-иностр. /З.В.Бойко и др. -М.: Форум, НИЦ ИНФРА-М, 2023. -192 с.(О)</t>
  </si>
  <si>
    <t>АЗБУКА ПСИХОЛОГИИ</t>
  </si>
  <si>
    <t>Бойко З.В., Полянская Е.Н., Полянская В.И.</t>
  </si>
  <si>
    <t>978-5-91134-727-7</t>
  </si>
  <si>
    <t>37.03.01, 37.05.02, 37.03.02, 44.03.02</t>
  </si>
  <si>
    <t>Допущено УМО по классическому университетскому образованию в качестве учебного пособия для студентов высших учебных заведений, обучающихся по направлению подготовки ФГОС ВПО ОЗОЗОО "Психология"</t>
  </si>
  <si>
    <t>Российский университет дружбы народов</t>
  </si>
  <si>
    <t>0113</t>
  </si>
  <si>
    <t>641499.07.01</t>
  </si>
  <si>
    <t>Аксиологические основы воспитания нрав..: Моногр. / С.В.Яковлев-М.:НИЦ ИНФРА-М,2023-137с(Науч.мысль)</t>
  </si>
  <si>
    <t>АКСИОЛОГИЧЕСКИЕ ОСНОВЫ ВОСПИТАНИЯ НРАВСТВЕННОЙ КУЛЬТУРЫ ЛИЧНОСТИ В СИСТЕМЕ ОБЩЕГО ОБРАЗОВАНИЯ</t>
  </si>
  <si>
    <t>Яковлев С.В.</t>
  </si>
  <si>
    <t>978-5-16-012340-0</t>
  </si>
  <si>
    <t>44.03.01, 44.03.05, 44.03.04</t>
  </si>
  <si>
    <t>Российская академия образования</t>
  </si>
  <si>
    <t>0116</t>
  </si>
  <si>
    <t>649112.06.01</t>
  </si>
  <si>
    <t>Актуальные каналы соц.личности..: Моногр. / Под ред. Сергеевой В.П.- 2 изд.-М.:НИЦ ИНФРА-М,2023-131с(О)</t>
  </si>
  <si>
    <t>АКТУАЛЬНЫЕ КАНАЛЫ СОЦИАЛИЗАЦИИ ЛИЧНОСТИ: ОТ ТЕОРИИ К ТЕХНОЛОГИЯМ, ИЗД.2</t>
  </si>
  <si>
    <t>Сергеева В.П., Подымова Л.С., Алисов Е.А. и др.</t>
  </si>
  <si>
    <t>978-5-16-014154-1</t>
  </si>
  <si>
    <t>44.04.02, 44.04.01, 44.03.01, 44.03.05, 44.03.02, 44.03.03</t>
  </si>
  <si>
    <t>Московский городской педагогический университет</t>
  </si>
  <si>
    <t>0217</t>
  </si>
  <si>
    <t>700692.03.01</t>
  </si>
  <si>
    <t>Актуальные пробл. проектир. обр. процесса: Уч.пос. / Е.В.Семенова-М.:НИЦ ИНФРА-М,2023.-208 с.(ВО)(П)</t>
  </si>
  <si>
    <t>АКТУАЛЬНЫЕ ПРОБЛЕМЫ ПРОЕКТИРОВАНИЯ ОБРАЗОВАТЕЛЬНОГО ПРОЦЕССА</t>
  </si>
  <si>
    <t>Семенова Е.В.</t>
  </si>
  <si>
    <t>Высшее образование: Магистратура</t>
  </si>
  <si>
    <t>978-5-16-014971-4</t>
  </si>
  <si>
    <t>Профессиональное образование / ВО - Магистратура</t>
  </si>
  <si>
    <t>44.00.00, 44.04.02, 44.04.01, 44.04.03, 44.04.04, 44.05.01, 44.03.01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</si>
  <si>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педагогическим направлениям подготовки (квалификация (степень) «магистр») (протокол № 10 от 12.10.2020)</t>
  </si>
  <si>
    <t>Челябинский государственный институт культуры</t>
  </si>
  <si>
    <t>0121</t>
  </si>
  <si>
    <t>674730.05.01</t>
  </si>
  <si>
    <t>Антропология воспитания в рус. культуре: Моногр. / И.А.Булгакова - М.:НИЦ ИНФРА-М,2024-158с(Науч.мысль) (О)</t>
  </si>
  <si>
    <t>АНТРОПОЛОГИЯ ВОСПИТАНИЯ В РУССКОЙ КУЛЬТУРЕ</t>
  </si>
  <si>
    <t>Булгакова И.А.</t>
  </si>
  <si>
    <t>978-5-16-015636-1</t>
  </si>
  <si>
    <t>44.04.02, 44.04.01, 44.04.03, 44.04.04, 44.03.01, 44.03.05, 44.03.02</t>
  </si>
  <si>
    <t>Тюменский индустриальный университет</t>
  </si>
  <si>
    <t>0120</t>
  </si>
  <si>
    <t>139400.11.01</t>
  </si>
  <si>
    <t>Архетипические психологические типы: Моногр. / С.Ю.Поройков-М.:НИЦ ИНФРА-М,2023.-597 с..-(Науч.мысль)(П)</t>
  </si>
  <si>
    <t>АРХЕТИПИЧЕСКИЕ ПСИХОЛОГИЧЕСКИЕ ТИПЫ</t>
  </si>
  <si>
    <t>Поройков С. Ю.</t>
  </si>
  <si>
    <t>978-5-16-011617-4</t>
  </si>
  <si>
    <t>37.03.01, 37.04.01, 44.04.02, 37.04.02, 37.05.02, 37.05.01, 37.03.02, 44.03.01, 44.03.05, 44.03.02</t>
  </si>
  <si>
    <t>Московский государственный университет им. М.В. Ломоносова, факультет вычислительной математики и ки</t>
  </si>
  <si>
    <t>138900.09.01</t>
  </si>
  <si>
    <t>Аспирант вуза: технологии науч. творчества и пед. деятель..: Уч. / С.Д.Резник-7изд.-М.:НИЦ ИНФРА-М,2021-400 с(П)</t>
  </si>
  <si>
    <t>АСПИРАНТ ВУЗА: ТЕХНОЛОГИИ НАУЧНОГО ТВОРЧЕСТВА И ПЕДАГОГИЧЕСКОЙ ДЕЯТЕЛЬНОСТИ, ИЗД.7</t>
  </si>
  <si>
    <t>Резник С.Д.</t>
  </si>
  <si>
    <t>Менеджмент в науке</t>
  </si>
  <si>
    <t>978-5-16-013585-4</t>
  </si>
  <si>
    <t>Учебник</t>
  </si>
  <si>
    <t>Профессиональное образование / ВО - Кадры высшей квалификации / Аспирантура</t>
  </si>
  <si>
    <t>38.06.01</t>
  </si>
  <si>
    <t>Рекомендовано Советом Учебно-методического объединения по образованию в области менеджмента в качестве учебника для обучения по программам подготовки научно-педагогических кадров в аспирантуре высших учебных заведений</t>
  </si>
  <si>
    <t>Пензенский государственный университет архитектуры и строительства</t>
  </si>
  <si>
    <t>0719</t>
  </si>
  <si>
    <t>138900.13.01</t>
  </si>
  <si>
    <t>Аспирант вуза: технологии науч. творчества...: Уч. / С.Д.Резник - 8 изд.-М.:НИЦ ИНФРА-М,2024.-388 с.(П)</t>
  </si>
  <si>
    <t>АСПИРАНТ ВУЗА: ТЕХНОЛОГИИ НАУЧНОГО ТВОРЧЕСТВА И ПЕДАГОГИЧЕСКОЙ ДЕЯТЕЛЬНОСТИ, ИЗД.8</t>
  </si>
  <si>
    <t>978-5-16-017412-9</t>
  </si>
  <si>
    <t>Рекомендовано Советом Учебно-методического объединения вузов по образованию в области менеджмента в качестве учебника для обучения по программам подготовки научно-педагогических кадров в аспирантуре высших учебных заведений</t>
  </si>
  <si>
    <t>0822</t>
  </si>
  <si>
    <t>138900.06.01</t>
  </si>
  <si>
    <t>Аспирант вуза: технологии научного творчества и педагогической деятельности:Уч. / С.Д.Резник, - 6-е изд., стереотип.-М.:НИЦ ИНФРА-М,2018.-451 с..-</t>
  </si>
  <si>
    <t>АСПИРАНТ ВУЗА: ТЕХНОЛОГИИ НАУЧНОГО ТВОРЧЕСТВА И ПЕДАГОГИЧЕСКОЙ ДЕЯТЕЛЬНОСТИ, ИЗД.6</t>
  </si>
  <si>
    <t>Переплет 7БЦ</t>
  </si>
  <si>
    <t>978-5-16-011754-6</t>
  </si>
  <si>
    <t>Рекомендовано Советом Учебно-методического объединения вузов России по образованию в области менеджмента в качестве учебного пособия для аспирантов высших учебных заведений</t>
  </si>
  <si>
    <t>0618</t>
  </si>
  <si>
    <t>694171.01.01</t>
  </si>
  <si>
    <t>Безопасность жизнедеятельности: Практикум: Уч.пос. / С.В.Алексеев - М.:НИЦ ИНФРА-М,2022 - 215 с.(ВО)(П)</t>
  </si>
  <si>
    <t>БЕЗОПАСНОСТЬ ЖИЗНЕДЕЯТЕЛЬНОСТИ: ИННОВАЦИИ В МЕТОДИКЕ ОБУЧЕНИЯ. ПРАКТИКУМ</t>
  </si>
  <si>
    <t>Алексеев С.В., Костецкая Г.А.</t>
  </si>
  <si>
    <t>Высшее образование: Бакалавриат</t>
  </si>
  <si>
    <t>978-5-16-015976-8</t>
  </si>
  <si>
    <t>00.03.01, 44.03.01, 44.03.05, 44.03.04, 44.03.02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</si>
  <si>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педагогическим направлениям подготовки (квалификация (степень) «бакалавр») (протокол № 6 от 16.06.2021)</t>
  </si>
  <si>
    <t>Санкт-Петербургская академия постдипломного педагогического образования</t>
  </si>
  <si>
    <t>0122</t>
  </si>
  <si>
    <t>696502.03.01</t>
  </si>
  <si>
    <t>Введение в педагог. деят. Практ.: Уч.мет.пос. / Под ред. Орлова А.А. - 2 изд.-М.:НИЦ ИНФРА-М,2024-258с(ВО)(п)</t>
  </si>
  <si>
    <t>ВВЕДЕНИЕ В ПЕДАГОГИЧЕСКУЮ ДЕЯТЕЛЬНОСТЬ. ПРАКТИКУМ, ИЗД.2</t>
  </si>
  <si>
    <t>Орлов А.А., Агафонова А.С., Орлов А.А.</t>
  </si>
  <si>
    <t>Высшее образование</t>
  </si>
  <si>
    <t>978-5-16-019403-5</t>
  </si>
  <si>
    <t>Учебно-методическое пособие</t>
  </si>
  <si>
    <t>44.05.01, 44.03.01, 44.03.05, 44.03.04, 44.03.02, 44.03.03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</si>
  <si>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направлениий 44.03.00 «Образование и педагогические науки» (квалификация (степень) «бакалавр») (протокол № 15 от 14.10.2019)</t>
  </si>
  <si>
    <t>Тульский государственный педагогический университет им. Л.Н. Толстого</t>
  </si>
  <si>
    <t>0220</t>
  </si>
  <si>
    <t>687079.04.01</t>
  </si>
  <si>
    <t>Введение в педагогическую деят.: Уч.пос. / Н.А.Шайденко-М.:НИЦ ИНФРА-М,2024.-228 с.(ВО)(п)</t>
  </si>
  <si>
    <t>ВВЕДЕНИЕ В ПЕДАГОГИЧЕСКУЮ ДЕЯТЕЛЬНОСТЬ</t>
  </si>
  <si>
    <t>Шайденко Н.А., Кипурова С.Н.</t>
  </si>
  <si>
    <t>978-5-16-019202-4</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</si>
  <si>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44.03.00 «Образование и педагогические науки» (квалификация (степень) «бакалавр») (протокол № 10 от 12.10.2020)</t>
  </si>
  <si>
    <t>753738.03.01</t>
  </si>
  <si>
    <t>Введение в педагогическую деятельность: Уч.пос. / Н.А.Шайденко - М.:НИЦ ИНФРА-М,2023 - 228 с.-(СПО)(П)</t>
  </si>
  <si>
    <t>978-5-16-016834-0</t>
  </si>
  <si>
    <t>49.02.01, 49.02.02, 44.02.01, 44.02.02, 44.02.03, 44.02.05</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</si>
  <si>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укрупненной группе специальностей 44.02.00 «Образование и педагогические науки» (протокол № 11 от 26.10.2020)</t>
  </si>
  <si>
    <t>277100.07.01</t>
  </si>
  <si>
    <t>Введение в профессию (психология): Уч. / П.С.Гуревич-М.:НИЦ ИНФРА-М,2024.-415 с.(ВО: Бакалавр.)(П)</t>
  </si>
  <si>
    <t>ВВЕДЕНИЕ В ПРОФЕССИЮ (ПСИХОЛОГИЯ)</t>
  </si>
  <si>
    <t>Гуревич П.С.</t>
  </si>
  <si>
    <t>978-5-16-009783-1</t>
  </si>
  <si>
    <t>37.03.01, 37.05.02, 37.05.01, 37.03.02</t>
  </si>
  <si>
    <t>Московский государственный университет им. М.В. Ломоносова, факультет психологии</t>
  </si>
  <si>
    <t>0115</t>
  </si>
  <si>
    <t>707071.02.01</t>
  </si>
  <si>
    <t>Взаимодействие педагогической науки и системы...: Моногр./Я.С.Турбовской-М.:НИЦ ИНФРА-М,2023-276с(П)</t>
  </si>
  <si>
    <t>ВЗАИМОДЕЙСТВИЕ ПЕДАГОГИЧЕСКОЙ НАУКИ И СИСТЕМЫ ОТЕЧЕСТВЕННОГО ОБРАЗОВАНИЯ КАК УПРАВЛЯЕМЫЙ ПРОЦЕСС</t>
  </si>
  <si>
    <t>Турбовской Я.С.</t>
  </si>
  <si>
    <t>978-5-16-015250-9</t>
  </si>
  <si>
    <t>44.04.02, 44.04.01, 44.04.03, 44.04.04, 44.05.01</t>
  </si>
  <si>
    <t>Институт стратегии развития образования</t>
  </si>
  <si>
    <t>684194.02.01</t>
  </si>
  <si>
    <t>Власть и общество в развитии общего образования в Рос.: Моногр. / А.В.Овчинников.-М.:НИЦ ИНФРА-М,2019.-230с(П)</t>
  </si>
  <si>
    <t>ВЛАСТЬ И ОБЩЕСТВО В РАЗВИТИИ ОБЩЕГО ОБРАЗОВАНИЯ В РОССИИ (XIX - КОНЕЦ XX ВЕКА)</t>
  </si>
  <si>
    <t>Овчинников А.В., Козлова Г.Н., Петухова И.В.</t>
  </si>
  <si>
    <t>978-5-16-014098-8</t>
  </si>
  <si>
    <t>44.04.02, 44.04.01, 44.04.03, 44.04.04, 44.03.05, 44.03.04</t>
  </si>
  <si>
    <t>718568.05.01</t>
  </si>
  <si>
    <t>ВО в России: вызовы времени и взгляд в будущее: Моногр./ В.И.Алешникова -М.:НИЦ ИНФРА-М,2024.-610 с.(п)</t>
  </si>
  <si>
    <t>ВЫСШЕЕ ОБРАЗОВАНИЕ В РОССИИ: ВЫЗОВЫ ВРЕМЕНИ И ВЗГЛЯД В БУДУЩЕЕ</t>
  </si>
  <si>
    <t>Алешникова В.И., Ахметшин А.Ф., Басова В.П. и др.</t>
  </si>
  <si>
    <t>978-5-16-019406-6</t>
  </si>
  <si>
    <t>00.03.16, 00.05.16, 00.04.16, 39.04.03, 39.04.01, 44.04.01, 38.04.01, 38.04.02, 38.04.03, 38.06.01, 39.06.01</t>
  </si>
  <si>
    <t>Государственный университет управления</t>
  </si>
  <si>
    <t>708875.02.01</t>
  </si>
  <si>
    <t>ВО как ресурс управ. социокультурной модернизацией регионов/ Р.В.Леньков-М.:НИЦ ИНФРА-М,2023.-161 с.(О)</t>
  </si>
  <si>
    <t>ВЫСШЕЕ ОБРАЗОВАНИЕ КАК РЕСУРС УПРАВЛЕНИЯ СОЦИОКУЛЬТУРНОЙ МОДЕРНИЗАЦИЕЙ РЕГИОНОВ</t>
  </si>
  <si>
    <t>Леньков Р.В.</t>
  </si>
  <si>
    <t>978-5-16-016155-6</t>
  </si>
  <si>
    <t>39.04.01, 39.06.01</t>
  </si>
  <si>
    <t>Московский государственный гуманитарно-экономический университет</t>
  </si>
  <si>
    <t>177500.16.01</t>
  </si>
  <si>
    <t>Возрастная психология: Уч.пос. / Б.Р.Мандель - 2изд.-М.:НИЦ ИНФРА-М,2024-350 с.-(ВО: Бакалавриат)(П)</t>
  </si>
  <si>
    <t>ВОЗРАСТНАЯ ПСИХОЛОГИЯ, ИЗД.2</t>
  </si>
  <si>
    <t>Мандель Б.Р.</t>
  </si>
  <si>
    <t>978-5-16-015893-8</t>
  </si>
  <si>
    <t>37.03.01, 44.05.01, 31.05.02, 44.03.01, 44.03.05, 44.03.04, 44.03.02, 44.03.03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</si>
  <si>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укрупненным группам направлений подготовки 44.03.00 «Образование и педагогические науки», 37.03.00 «Психологические науки» (квалификация (степень) «бакалавр») (протокол № 1 от 20.01.2020)</t>
  </si>
  <si>
    <t>Сибирский университет потребительской кооперации</t>
  </si>
  <si>
    <t>177500.09.01</t>
  </si>
  <si>
    <t>Возрастная психология: Уч.пос. / Б.Р.Мандель-М.:Вуз.уч., НИЦ ИНФРА-М,2019.-352 с.(ВО: Бакалавр.)(П)</t>
  </si>
  <si>
    <t>ВОЗРАСТНАЯ ПСИХОЛОГИЯ</t>
  </si>
  <si>
    <t>Мандель Б. Р.</t>
  </si>
  <si>
    <t>Вузовский учебник</t>
  </si>
  <si>
    <t>978-5-9558-0195-7</t>
  </si>
  <si>
    <t>0112</t>
  </si>
  <si>
    <t>682848.03.01</t>
  </si>
  <si>
    <t>Возрастная психология: Уч.пос. / Б.Р.Мандель-М.:НИЦ ИНФРА-М,2024.-338 с.(СПО)(П)</t>
  </si>
  <si>
    <t>978-5-16-018895-9</t>
  </si>
  <si>
    <t>44.02.01, 44.02.02, 44.02.03, 44.02.04, 44.02.05, 44.02.06</t>
  </si>
  <si>
    <t>Рекомендовано в качестве учебного пособия для учебных заведений, реализующих программу среднего профессионального образования по укрупненной группе специальностей 44.02.00 «Образование и педагогические науки»</t>
  </si>
  <si>
    <t>162350.14.01</t>
  </si>
  <si>
    <t>Воспитание детей в духе миролюбия в трад..: Моногр. / О.В.Коротких - М.:НИЦ ИНФРА-М,2024 - 128 с(О)</t>
  </si>
  <si>
    <t>ВОСПИТАНИЕ ДЕТЕЙ В ДУХЕ МИРОЛЮБИЯ В ТРАДИЦИЯХ НАРОДНОЙ ПЕДАГОГИКИ</t>
  </si>
  <si>
    <t>Коротких О.В.</t>
  </si>
  <si>
    <t>978-5-16-005175-8</t>
  </si>
  <si>
    <t>44.04.02, 44.04.01, 44.04.04, 44.03.01, 44.03.05, 44.03.04, 44.03.02</t>
  </si>
  <si>
    <t>Елецкий государственный университет им. И.А. Бунина</t>
  </si>
  <si>
    <t>800888.02.01</t>
  </si>
  <si>
    <t>Воспитание детей и молодежи: тенденции и реш.: Моногр. / И.В.Иванова.-М.:НИЦ ИНФРА-М,2023.-183 с.(п)</t>
  </si>
  <si>
    <t>ВОСПИТАНИЕ ДЕТЕЙ И МОЛОДЕЖИ: ТЕНДЕНЦИИ И РЕШЕНИЯ</t>
  </si>
  <si>
    <t>Иванова И.В., Макарова В.А., Астахова Л.Г. и др.</t>
  </si>
  <si>
    <t>978-5-16-018627-6</t>
  </si>
  <si>
    <t>44.04.02, 44.04.01, 44.04.04, 44.05.01, 44.06.01</t>
  </si>
  <si>
    <t>Калужский государственный  университет им. К.Э. Циолковского</t>
  </si>
  <si>
    <t>0124</t>
  </si>
  <si>
    <t>682850.07.01</t>
  </si>
  <si>
    <t>Воспитание и обуч. детей с наруш. речи....: Уч. пос. / Л.С.Вакуленко -М.:Форум,НИЦ ИНФРА-М,2024 - 272с(П)</t>
  </si>
  <si>
    <t>ВОСПИТАНИЕ И ОБУЧЕНИЕ ДЕТЕЙ С НАРУШЕНИЯМИ РЕЧИ. ПСИХОЛОГИЯ ДЕТЕЙ С НАРУШЕНИЯМИ РЕЧИ</t>
  </si>
  <si>
    <t>Вакуленко Л.С.</t>
  </si>
  <si>
    <t>978-5-00091-573-8</t>
  </si>
  <si>
    <t>44.02.04, 44.02.05</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</si>
  <si>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укрупненной группе специальностей 44.02.00 «Образование и педагогические науки»</t>
  </si>
  <si>
    <t>-</t>
  </si>
  <si>
    <t>431350.07.01</t>
  </si>
  <si>
    <t>Воспитание и обучение детей с нарушениями речи: Уч.мет.пос. / Л.С.Вакуленко-М.:Форум, НИЦ ИНФРА-М,2022.-272с(П)</t>
  </si>
  <si>
    <t>978-5-00091-728-2</t>
  </si>
  <si>
    <t>37.03.01, 44.04.01, 44.04.03, 44.03.01, 44.03.05, 44.03.03, 49.03.02</t>
  </si>
  <si>
    <t>733188.01.01</t>
  </si>
  <si>
    <t>Воспитание толерантности у младших шк.: Уч.пос. / С.А.Герасимов - М.:НИЦ ИНФРА-М,2020 - 315 с.(П)</t>
  </si>
  <si>
    <t>ВОСПИТАНИЕ ТОЛЕРАНТНОСТИ У МЛАДШИХ ШКОЛЬНИКОВ</t>
  </si>
  <si>
    <t>Герасимов С.А., Сковородкина И.З.</t>
  </si>
  <si>
    <t>978-5-16-016166-2</t>
  </si>
  <si>
    <t>44.02.02, 44.03.01, 44.03.05, 44.03.02</t>
  </si>
  <si>
    <t>Допущено Министерством образования и науки Российской Федерации в качестве учебного пособия для студентов профессиональных образовательных организаций, обучающихся по специальности 44.02.02 «Преподавание в начальных классах», студентов образовательных организаций высшего образования, обучающихся по направлению подготовки 44.03.01 «Педагогическое образование», профиль «Начальное образование», и обучающихся организаций дополнительного профессионального образования</t>
  </si>
  <si>
    <t>Архангельский политехнический техникум</t>
  </si>
  <si>
    <t>643226.07.01</t>
  </si>
  <si>
    <t>Воспитание ценностных основ.личности: Моногр. / С.В.Яковлев - 2 изд. - М.:НИЦ ИНФРА-М,2023-148с(О)</t>
  </si>
  <si>
    <t>ВОСПИТАНИЕ ЦЕННОСТНЫХ ОСНОВАНИЙ ЛИЧНОСТИ, ИЗД.2</t>
  </si>
  <si>
    <t>978-5-16-010217-7</t>
  </si>
  <si>
    <t>44.03.01, 44.03.05</t>
  </si>
  <si>
    <t>441300.08.01</t>
  </si>
  <si>
    <t>Воспитатель в дошк. обр. орг..: Уч.пос. / Под ред.Козловой С.А. - 2 изд.-М.:НИЦ ИНФРА-М,2024-508с(п)</t>
  </si>
  <si>
    <t>ВОСПИТАТЕЛЬ В ДОШКОЛЬНЫХ ОБРАЗОВАТЕЛЬНЫХ ОРГАНИЗАЦИЯХ. ФИЗИЧЕСКОЕ ВОСПИТАНИЕ ДОШКОЛЬНИКОВ, ИЗД.2</t>
  </si>
  <si>
    <t>Борисова М.М., Кожухова Н.Н., Рыжкова Л.А. и др.</t>
  </si>
  <si>
    <t>978-5-16-013803-9</t>
  </si>
  <si>
    <t>44.00.00, 44.03.01, 44.03.05, 44.03.04</t>
  </si>
  <si>
    <t>0216</t>
  </si>
  <si>
    <t>429350.04.01</t>
  </si>
  <si>
    <t>Воспитываем ребенка / Н.А.Пастернак - М.:Форум, НИЦ ИНФРА-М,2018.-112 с.(О) [12+]</t>
  </si>
  <si>
    <t>ВОСПИТЫВАЕМ РЕБЕНКА</t>
  </si>
  <si>
    <t>Пастернак Н.А.</t>
  </si>
  <si>
    <t>978-5-91134-734-5</t>
  </si>
  <si>
    <t>Дополнительное образование / Дополнительное образование взрослых</t>
  </si>
  <si>
    <t>37.03.01, 37.04.01, 44.04.02, 44.04.01, 44.05.01, 44.03.01, 44.03.05, 44.03.04, 44.03.02, 44.03.03</t>
  </si>
  <si>
    <t>Московский государственный медико-стоматологический университет им. А.И. Евдокимова</t>
  </si>
  <si>
    <t>429350.08.01</t>
  </si>
  <si>
    <t>Воспитываем ребенка: Уч.пос. / Под ред. Асмолова А.Г. - 2 изд. - М.:Форум, НИЦ ИНФРА-М,2024-166 с.(П)</t>
  </si>
  <si>
    <t>ВОСПИТЫВАЕМ РЕБЕНКА, ИЗД.2</t>
  </si>
  <si>
    <t>Пастернак Н.А., Асмолов А.Г.</t>
  </si>
  <si>
    <t>978-5-00091-658-2</t>
  </si>
  <si>
    <t>Профессиональное образование</t>
  </si>
  <si>
    <t>0221</t>
  </si>
  <si>
    <t>671809.07.01</t>
  </si>
  <si>
    <t>Выпускная квалификац. раб. в проф. обр. орг. СПО: Уч.мет.пос. / С.Н.Рыжиков - М.:НИЦ ИНФРА-М,2024 - 236с(П)</t>
  </si>
  <si>
    <t>ВЫПУСКНАЯ КВАЛИФИКАЦИОННАЯ РАБОТА В ПРОФЕССИОНАЛЬНЫХ ОБРАЗОВАТЕЛЬНЫХ ОРГАНИЗАЦИЯХ СПО</t>
  </si>
  <si>
    <t>Рыжиков С.Н.</t>
  </si>
  <si>
    <t>978-5-16-013869-5</t>
  </si>
  <si>
    <t>31.02.01, 00.02.03</t>
  </si>
  <si>
    <t>Рекомендовано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(протокол № 10 от 27.05.2019)</t>
  </si>
  <si>
    <t>Лебедянский торгово-экономический техникум</t>
  </si>
  <si>
    <t>794190.01.01</t>
  </si>
  <si>
    <t>Выпускная квалификационная работа: Магистр.: Уч.пос. / Л.Б.Лазарова-М.:НИЦ ИНФРА-М,2023.-200 с.(ВО)(п)</t>
  </si>
  <si>
    <t>ВЫПУСКНАЯ КВАЛИФИКАЦИОННАЯ РАБОТА: МАГИСТРАТУРА</t>
  </si>
  <si>
    <t>Лазарова Л.Б., Каирова Ф.А.</t>
  </si>
  <si>
    <t>Высшее образование: Магистратура (Финуниверситет)</t>
  </si>
  <si>
    <t>978-5-16-018153-0</t>
  </si>
  <si>
    <t>38.04.08</t>
  </si>
  <si>
    <t>Финансовый университет при Правительстве Российской Федерации, Владикавказский ф-л</t>
  </si>
  <si>
    <t>Сентябрь, 2023</t>
  </si>
  <si>
    <t>409700.14.01</t>
  </si>
  <si>
    <t>Гендерная дифференциация в психологии: Уч.пос. / О.О.Андронникова - М.:Вуз.уч.,НИЦ ИНФРА-М,2023-264с(П)</t>
  </si>
  <si>
    <t>ГЕНДЕРНАЯ ДИФФЕРЕНЦИАЦИЯ В ПСИХОЛОГИИ</t>
  </si>
  <si>
    <t>Андронникова О. О.</t>
  </si>
  <si>
    <t>978-5-9558-0278-7</t>
  </si>
  <si>
    <t>37.03.01, 37.04.01, 44.04.02, 44.04.03, 44.03.02, 44.03.03</t>
  </si>
  <si>
    <t>Новосибирский государственный педагогический университет</t>
  </si>
  <si>
    <t>641419.05.01</t>
  </si>
  <si>
    <t>Гендерная психология: Уч.пос. / Л.Э.Семенова - М.:НИЦ ИНФРА-М,2023 - 309 с.-(ВО)(п)</t>
  </si>
  <si>
    <t>ГЕНДЕРНАЯ ПСИХОЛОГИЯ</t>
  </si>
  <si>
    <t>Семенова Л.Э., Семенова В.Э.</t>
  </si>
  <si>
    <t>978-5-16-019452-3</t>
  </si>
  <si>
    <t>37.03.01, 37.03.02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</si>
  <si>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37.03.01 «Психология» (квалификация (степень) «бакалавр») (протокол № 3 от 17.03.2021)</t>
  </si>
  <si>
    <t>Национальный исследовательский Нижегородский государственный университет им. Н.И. Лобачевского</t>
  </si>
  <si>
    <t>742745.01.01</t>
  </si>
  <si>
    <t>Геометрия в образовании и науке: Моногр. / Н.А.Сальков-М.:НИЦ ИНФРА-М,2021.-232 с.(Науч.мысль)(О)</t>
  </si>
  <si>
    <t>ГЕОМЕТРИЯ В ОБРАЗОВАНИИ И НАУКЕ</t>
  </si>
  <si>
    <t>Сальков Н.А.</t>
  </si>
  <si>
    <t>978-5-16-016471-7</t>
  </si>
  <si>
    <t>01.06.01, 07.06.01, 08.06.01, 15.06.01</t>
  </si>
  <si>
    <t>Московский государственный академический художественный институт им. В.И. Сурикова при Российской академии художеств</t>
  </si>
  <si>
    <t>774992.02.01</t>
  </si>
  <si>
    <t>Девиантология - социология и психология зла: Моногр. / Т.А.Хагуров-М.:НИЦ ИНФРА-М,2024.-412 с.(О)</t>
  </si>
  <si>
    <t>ДЕВИАНТОЛОГИЯ - СОЦИОЛОГИЯ И ПСИХОЛОГИЯ ЗЛА</t>
  </si>
  <si>
    <t>Хагуров Т.А.</t>
  </si>
  <si>
    <t>978-5-16-017699-4</t>
  </si>
  <si>
    <t>37.03.01, 37.04.01, 44.04.02, 40.04.01, 47.04.02, 39.04.02, 39.04.01, 37.05.01, 44.05.01, 37.06.01, 40.06.01, 44.06.01, 47.06.01, 44.07.02, 47.07.01, 39.03.01</t>
  </si>
  <si>
    <t>Кубанский государственный университет</t>
  </si>
  <si>
    <t>665060.06.01</t>
  </si>
  <si>
    <t>Деловые игры: теория и организация: Уч.мет.пос. / Г.С.Абрамова - 2 изд.-М.:НИЦ ИНФРА-М,2022-189 с.(ВО)(П)</t>
  </si>
  <si>
    <t>ДЕЛОВЫЕ ИГРЫ: ТЕОРИЯ И ОРГАНИЗАЦИЯ, ИЗД.2</t>
  </si>
  <si>
    <t>Абрамова Г.С., Степанович В.А.</t>
  </si>
  <si>
    <t>978-5-16-013580-9</t>
  </si>
  <si>
    <t>37.03.01, 44.04.02, 44.04.01, 37.05.02, 44.05.01, 37.03.02, 44.03.01, 44.03.05, 44.03.04, 44.03.02, 44.03.03</t>
  </si>
  <si>
    <t>Рекомендовано в качестве учебного пособия для студентов высших учебных заведений, обучающихся по направлениям подготовки 44.03.01 «Педагогическое образование», 44.03.02 «Психолого-педагогическое образование», 44.03.04 «Профессиональное обучение» (квалификация (степень) «бакалавр»)</t>
  </si>
  <si>
    <t>Брестский государственный университет имени А.С.Пушкина</t>
  </si>
  <si>
    <t>0218</t>
  </si>
  <si>
    <t>724344.02.01</t>
  </si>
  <si>
    <t>Дерптский Проф. институт - науч.-педагог. шк. России / Н.В.Карнаух-М.:НИЦ ИНФРА-М,2024.-331 с.(О)</t>
  </si>
  <si>
    <t>ДЕРПТСКИЙ ПРОФЕССОРСКИЙ ИНСТИТУТ - НАУЧНО-ПЕДАГОГИЧЕСКАЯ ШКОЛА РОССИИ</t>
  </si>
  <si>
    <t>Карнаух Н.В.</t>
  </si>
  <si>
    <t>978-5-16-015888-4</t>
  </si>
  <si>
    <t>44.04.01, 44.06.01</t>
  </si>
  <si>
    <t>Благовещенский государственный педагогический университет</t>
  </si>
  <si>
    <t>300800.10.01</t>
  </si>
  <si>
    <t>Дети и телевидение: история психол.исслед...: Моногр. / О.И.Маховская-М.:НИЦ ИНФРА-М,2023.-172с-(О)</t>
  </si>
  <si>
    <t>ДЕТИ И ТЕЛЕВИДЕНИЕ: ИСТОРИЯ ПСИХОЛОГИЧЕСКИХ ИССЛЕДОВАНИЙ И ЭКСПЕРТИЗЫ ТЕЛЕПРОГРАММ ДЛЯ ДЕТЕЙ</t>
  </si>
  <si>
    <t>Маховская О.И., Марченко Ф.О.</t>
  </si>
  <si>
    <t>978-5-16-010167-5</t>
  </si>
  <si>
    <t>37.03.01, 37.04.01</t>
  </si>
  <si>
    <t>Институт психологии Российской академии наук</t>
  </si>
  <si>
    <t>056800.11.01</t>
  </si>
  <si>
    <t>Детская психология с элементами психофизиол.: Уч. пос. / В.Г. Каменская - М.:Форум:ИНФРА-М,2023-288с.(ВО)(О)</t>
  </si>
  <si>
    <t>ДЕТСКАЯ ПСИХОЛОГИЯ С ЭЛЕМЕНТАМИ ПСИХОФИЗИОЛОГИИ, ИЗД.2</t>
  </si>
  <si>
    <t>Каменская В.Г.</t>
  </si>
  <si>
    <t>978-5-91134-482-5</t>
  </si>
  <si>
    <t>37.03.01, 44.03.01, 44.03.05, 44.03.04, 44.03.02, 44.03.03</t>
  </si>
  <si>
    <t>Допущено УМО по направления педагогического образования Министерства образования и науки РФ в качестве учебного пособия для студентов высших педагогических учебных заведений, обучающихся по направлению 540600 (050600) педагогика</t>
  </si>
  <si>
    <t>0211</t>
  </si>
  <si>
    <t>669692.04.01</t>
  </si>
  <si>
    <t>Детская психология: Уч. / Г.А.Урунтаева - 11 изд. - М.:НИЦ ИНФРА-М,2024 - 372 с.-(СПО)(П)</t>
  </si>
  <si>
    <t>ДЕТСКАЯ ПСИХОЛОГИЯ, ИЗД.11</t>
  </si>
  <si>
    <t>Урунтаева Г.А.</t>
  </si>
  <si>
    <t>978-5-16-015972-0</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</si>
  <si>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педагогическим и психологическим специальностям (протокол № 10 от 12.10.2020)</t>
  </si>
  <si>
    <t>Институт изучения детства, семьи и воспитания Российской академии образования</t>
  </si>
  <si>
    <t>1121</t>
  </si>
  <si>
    <t>669686.04.01</t>
  </si>
  <si>
    <t>Детская психология: Уч. / Г.А.Урунтаева - 4 изд. - М.:НИЦ ИНФРА-М,2024 - 384 с.(ВО: Бакалавриат)(П)</t>
  </si>
  <si>
    <t>ДЕТСКАЯ ПСИХОЛОГИЯ, ИЗД.4</t>
  </si>
  <si>
    <t>978-5-16-019115-7</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</si>
  <si>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44.03.01 «Педагогическое образование» (квалификация (степень) «бакалавр») (протокол № 6 от 06.04.2020)</t>
  </si>
  <si>
    <t>0420</t>
  </si>
  <si>
    <t>756469.03.01</t>
  </si>
  <si>
    <t>Диагностика и коррекция фонетико-фонематич...: Уч.мет.пос. / Шашкина Г.Р.-М.:НИЦ ИНФРА-М,2023.-299 с.(П)</t>
  </si>
  <si>
    <t>ДИАГНОСТИКА И КОРРЕКЦИЯ ФОНЕТИКО-ФОНЕМАТИЧЕСКОГО НЕДОРАЗВИТИЯ У ДОШКОЛЬНИКОВ</t>
  </si>
  <si>
    <t>Шашкина Г.Р., Уварова Т.Б., Агаева В.Е. и др.</t>
  </si>
  <si>
    <t>978-5-16-017079-4</t>
  </si>
  <si>
    <t>44.03.03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</si>
  <si>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44.03.03 «Специальное (дефектологическое) образование» (квалификация (степень) «бакалавр») (протокол № 9 от 17.11.2021)</t>
  </si>
  <si>
    <t>678173.02.01</t>
  </si>
  <si>
    <t>Дидактика практико-ориентир. образования: Моногр. / В.А.Беликов.-М.:НИЦ ИНФРА-М,2019.-267с(П)</t>
  </si>
  <si>
    <t>ДИДАКТИКА ПРАКТИКО-ОРИЕНТИРОВАННОГО ОБРАЗОВАНИЯ</t>
  </si>
  <si>
    <t>Беликов В.А., Романов П.Ю., Валеев А.С.</t>
  </si>
  <si>
    <t>978-5-16-014073-5</t>
  </si>
  <si>
    <t>37.03.01, 44.04.01, 44.03.01, 44.03.05, 44.03.04, 44.03.02</t>
  </si>
  <si>
    <t>Уфимский Университет Науки и Технологий, Сибайский институт ф-л</t>
  </si>
  <si>
    <t>678173.05.01</t>
  </si>
  <si>
    <t>Дидактика практико-ориентир. образования: Моногр./ В.А.Беликов - 2 изд.-М.:НИЦ ИНФРА-М,2023.-323с(П)</t>
  </si>
  <si>
    <t>ДИДАКТИКА ПРАКТИКО-ОРИЕНТИРОВАННОГО ОБРАЗОВАНИЯ, ИЗД.2</t>
  </si>
  <si>
    <t>Беликов В.А., Романов П.Ю., Валеев А.С. и др.</t>
  </si>
  <si>
    <t>978-5-16-015686-6</t>
  </si>
  <si>
    <t>026850.19.01</t>
  </si>
  <si>
    <t>Диссертация и ученая степень: Новые положения о.../ Б.А.Райзберг - 11 изд. - Инфра-М, 2018 - 253с(п)</t>
  </si>
  <si>
    <t>ДИССЕРТАЦИЯ И УЧЕНАЯ СТЕПЕНЬ, ИЗД.11</t>
  </si>
  <si>
    <t>Райзберг Б. А.</t>
  </si>
  <si>
    <t>978-5-16-005640-1</t>
  </si>
  <si>
    <t>Научно-практическое пособие</t>
  </si>
  <si>
    <t>22.04.02, 01.06.01, 02.06.01, 03.06.01, 04.06.01, 05.06.01, 06.06.01, 07.06.01, 08.06.01, 09.06.01, 10.06.01, 11.06.01, 12.06.01, 13.06.01, 14.06.01, 15.06.01, 16.06.01, 17.06.01, 18.06.01, 19.06.01, 20.06.01, 21.06.01, 21.06.02, 22.06.01, 23.06.01, 24.06.01, 25.06.01, 26.06.01, 27.06.01, 28.06.01, 29.06.01, 30.06.01, 31.06.01, 32.06.01, 33.06.01, 35.06.01, 35.06.02, 35.06.03, 35.06.04, 36.06.01, 37.06.01, 38.06.01, 39.06.01, 40.06.01, 41.06.01, 42.06.01, 44.06.01, 45.06.01, 46.06.01, 47.06.01, 48.06.01, 49.06.01, 50.06.01, 51.06.01, 02.07.01, 04.07.01, 06.07.01, 07.07.01, 20.07.01, 30.07.01, 31.07.01, 32.07.01, 33.07.01, 38.07.02, 39.07.01, 41.07.01, 44.07.01, 44.07.02, 45.07.01, 47.07.01, 49.07.01, 50.07.01, 31.08.01, 31.08.02, 31.08.03, 31.08.04, 31.08.05, 31.08.06, 31.08.07, 31.08.08, 31.08.09, 31.08.10, 31.08.11, 31.08.12, 31.08.13, 31.08.14, 31.08.15, 31.08.16, 31.08.17, 31.08.18, 31.08.19, 31.08.20, 31.08.21, 31.08.22, 31.08.23, 31.08.24, 31.08.25, 31.08.26, 31.08.27, 31.08.28, 31.08.29, 31.08.30, 31.08.31, 31.08.32, 31.08.33, 31.08.34, 31.08.35, 31.08.36, 31.08.37, 31.08.38, 31.08.39, 31.08.40, 31.08.41, 31.08.42, 31.08.43, 31.08.44, 31.08.45, 31.08.46, 31.08.47, 31.08.48, 31.08.49, 31.08.50, 31.08.51, 31.08.52, 31.08.53, 31.08.54, 31.08.55, 31.08.56, 31.08.57, 31.08.58, 31.08.59, 31.08.60, 31.08.61, 31.08.62, 31.08.63, 31.08.64, 31.08.65, 31.08.66, 31.08.67, 31.08.68, 31.08.69, 31.08.70, 31.08.71, 31.08.72, 31.08.73, 31.08.74, 31.08.75, 31.08.76, 31.08.77, 32.08.01, 32.08.02, 32.08.03, 32.08.04, 32.08.05, 32.08.06, 32.08.07, 32.08.08, 32.08.09, 32.08.10, 32.08.11, 32.08.12, 32.08.13, 32.08.14, 33.08.01, 33.08.02, 33.08.03, 07.09.01, 07.09.02, 07.09.03, 07.09.04, 52.09.01, 52.09.02, 52.09.03, 52.09.04, 52.09.05, 52.09.06, 52.09.07, 52.09.08, 53.09.01, 53.09.02, 53.09.03, 53.09.04, 53.09.05, 54.09.01, 54.09.02, 54.09.03, 54.09.04, 54.09.05, 54.09.06, 54.09.07, 55.09.01, 55.09.02, 55.09.03</t>
  </si>
  <si>
    <t>Московская Школа Экономики</t>
  </si>
  <si>
    <t>1112</t>
  </si>
  <si>
    <t>328300.09.01</t>
  </si>
  <si>
    <t>Дифференциальная диагн. наруш. реч. разв.: Уч.мет.пос./О.В.Елецкая-М.:НИЦ ИНФРА-М,2024-160с(ВО)(п)</t>
  </si>
  <si>
    <t>ДИФФЕРЕНЦИАЛЬНАЯ ДИАГНОСТИКА НАРУШЕНИЙ РЕЧЕВОГО РАЗВИТИЯ</t>
  </si>
  <si>
    <t>Елецкая О.В., Тараканова А.А.</t>
  </si>
  <si>
    <t>978-5-16-018857-7</t>
  </si>
  <si>
    <t>44.04.03, 44.03.03</t>
  </si>
  <si>
    <t>Рекомендовано кафедрой логопедии ЛГУ им. А.С. Пушкина для студентов высших учебных заведений, обучающихся по направлениям 44.03.03 «Специальное (дефектологическое) образование» (квалификация (степень) «бакалавр») по профилю подготовки «Логопедия» и 44.04.03 «Специальное (дефектологическое) образование» (квалификация (степень) «магистр»)</t>
  </si>
  <si>
    <t>Ленинградский государственный университет им. А.С. Пушкина</t>
  </si>
  <si>
    <t>159350.09.01</t>
  </si>
  <si>
    <t>Дифференциальная психология. Модул. курс: Уч.пос. / Б.Р.Мандель -М.: Вуз.уч., НИЦ ИНФРА-М, 2024 -315с (п)</t>
  </si>
  <si>
    <t>ДИФФЕРЕНЦИАЛЬНАЯ ПСИХОЛОГИЯ. МОДУЛЬНЫЙ КУРС</t>
  </si>
  <si>
    <t>978-5-9558-0205-3</t>
  </si>
  <si>
    <t>253100.10.01</t>
  </si>
  <si>
    <t>Дифференциальная психология: Уч. / Т.Ф.Базылевич - М.:НИЦ ИНФРА-М,2024.-224 с..-(ВО: Бакалавриат)</t>
  </si>
  <si>
    <t>ДИФФЕРЕНЦИАЛЬНАЯ ПСИХОЛОГИЯ</t>
  </si>
  <si>
    <t>Базылевич Т.Ф.</t>
  </si>
  <si>
    <t>978-5-16-009399-4</t>
  </si>
  <si>
    <t>Московский государственный университет технологий и управления им. К.Г. Разумовского</t>
  </si>
  <si>
    <t>424500.07.01</t>
  </si>
  <si>
    <t>Дифференциальная психофизиология и психология: Моногр./Т.Ф.Базылевич - НИЦ ИНФРА-М,2022-340(Науч.мысль)</t>
  </si>
  <si>
    <t>ДИФФЕРЕНЦИАЛЬНАЯ ПСИХОФИЗИОЛОГИЯ И ПСИХОЛОГИЯ: КЛЮЧЕВЫЕ ИДЕИ</t>
  </si>
  <si>
    <t>Базылевич Т. Ф.</t>
  </si>
  <si>
    <t>978-5-16-010332-7</t>
  </si>
  <si>
    <t>37.03.01, 37.04.01, 44.03.01, 44.03.05</t>
  </si>
  <si>
    <t>733186.01.01</t>
  </si>
  <si>
    <t>Дошкольная педагогика: Уч.пос. / С.Д.Кириенко-М.:НИЦ ИНФРА-М,2024.-272 с.(ВО)(п)</t>
  </si>
  <si>
    <t>ДОШКОЛЬНАЯ ПЕДАГОГИКА</t>
  </si>
  <si>
    <t>Кириенко С.Д., Проняева С.В.</t>
  </si>
  <si>
    <t>978-5-16-016167-9</t>
  </si>
  <si>
    <t>44.02.01, 44.02.03</t>
  </si>
  <si>
    <t>Южно-Уральский государственный гуманитарно-педагогический университет</t>
  </si>
  <si>
    <t>Октябрь, 2023</t>
  </si>
  <si>
    <t>682646.03.01</t>
  </si>
  <si>
    <t>Дошкольное образование: Уч.пос. / И.С.Тундалева - М.:НИЦ ИНФРА-М,2024 - 223 с.(СПО)(П)</t>
  </si>
  <si>
    <t>ДОШКОЛЬНОЕ ОБРАЗОВАНИЕ</t>
  </si>
  <si>
    <t>Тундалева И.С.</t>
  </si>
  <si>
    <t>978-5-16-015540-1</t>
  </si>
  <si>
    <t>44.02.01</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</si>
  <si>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специальности 44.02.01 «Дошкольное образование» (протокол № 8 от 20.10.2021)</t>
  </si>
  <si>
    <t>Южно-Уральский государственный университет (национальный исследовательский университет)</t>
  </si>
  <si>
    <t>683165.04.01</t>
  </si>
  <si>
    <t>Духовно-нравственное воспитание: Уч.пос. / В.Д.Ширшов - М.:НИЦ ИНФРА-М,2024.-182 с(ВО:Магистратура)(П)</t>
  </si>
  <si>
    <t>ДУХОВНО-НРАВСТВЕННОЕ ВОСПИТАНИЕ</t>
  </si>
  <si>
    <t>Ширшов В.Д.</t>
  </si>
  <si>
    <t>978-5-16-014660-7</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</si>
  <si>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44.04.01 «Педагогическое образование» (квалификация (степень) «магистр») (протокол № 2 от 03.02.2020)</t>
  </si>
  <si>
    <t>Уральский государственный педагогический университет</t>
  </si>
  <si>
    <t>651471.01.01</t>
  </si>
  <si>
    <t>Еженедельник магистранта: Пособие / С.Д.Резник и др. - М.:НИЦ ИНФРА-М,2017 - 228 с.(П) [12+]</t>
  </si>
  <si>
    <t>ЕЖЕНЕДЕЛЬНИК МАГИСТРАНТА</t>
  </si>
  <si>
    <t>Резник С.Д., Чемезов И.С., Гугина Я.С.</t>
  </si>
  <si>
    <t>Переплет 7БЦ+каптал</t>
  </si>
  <si>
    <t>978-5-16-012672-2</t>
  </si>
  <si>
    <t>42.04.05, 42.04.01, 42.04.04, 39.04.03, 38.04.09, 38.04.07, 41.04.04, 37.04.01, 44.04.02, 40.04.01, 42.04.02, 41.04.05, 41.04.03, 42.04.03, 41.04.01, 41.04.02, 39.04.02, 39.04.01, 37.04.02, 44.04.01, 44.04.03, 44.04.04, 38.04.01, 38.04.08, 38.04.06, 38.04.02, 38.04.03, 38.04.04, 38.04.05, 43.04.01, 43.04.02, 43.04.03, 15.04.03, 15.04.01, 15.04.02, 15.04.05, 15.04.04, 15.04.06, 20.04.01, 20.04.02, 38.05.01, 38.05.02</t>
  </si>
  <si>
    <t>185650.11.01</t>
  </si>
  <si>
    <t>Если подростку трудно учиться в школе... / Е.В.Свистунова - М.:Форум,2024 - 144 с.(О)</t>
  </si>
  <si>
    <t>ЕСЛИ ПОДРОСТКУ ТРУДНО УЧИТЬСЯ В ШКОЛЕ: ПЕДАГОГАМ И ЗАИНТЕРЕСОВАННЫМ РОДИТЕЛЯМ</t>
  </si>
  <si>
    <t>Свистунова Е. В., Демьянская М. Н., Мильке Е. А.</t>
  </si>
  <si>
    <t>978-5-91134-660-7</t>
  </si>
  <si>
    <t>44.04.01, 44.06.01, 44.03.01</t>
  </si>
  <si>
    <t>150750.08.01</t>
  </si>
  <si>
    <t>Если ситуация кажется неразрешимой... / В.К. Зарецкий. - 2 изд. - М.: Форум, 2024. - 64 с. (о)</t>
  </si>
  <si>
    <t>ЕСЛИ СИТУАЦИЯ КАЖЕТСЯ НЕРАЗРЕШИМОЙ..., ИЗД.2</t>
  </si>
  <si>
    <t>Зарецкий В. К.</t>
  </si>
  <si>
    <t>978-5-91134-502-0</t>
  </si>
  <si>
    <t>37.03.01, 37.04.01, 37.04.02, 37.03.02</t>
  </si>
  <si>
    <t>Московский государственный психолого-педагогический университет</t>
  </si>
  <si>
    <t>795602.01.01</t>
  </si>
  <si>
    <t>Жизнь современных поколений: Монография / А.В.Микляева и др.-М.:НИЦ ИНФРА-М,2023.-218 с.(о)</t>
  </si>
  <si>
    <t>ЖИЗНЬ СОВРЕМЕННЫХ ПОКОЛЕНИЙ: СОЦИАЛЬНО-ПСИХОЛОГИЧЕСКИЕ ТЕНДЕНЦИИ</t>
  </si>
  <si>
    <t>Микляева А.В., Пищик В.И., Постникова М.И. и др.</t>
  </si>
  <si>
    <t>978-5-16-018118-9</t>
  </si>
  <si>
    <t>39.04.03, 47.04.01, 39.04.01, 39.06.01</t>
  </si>
  <si>
    <t>Февраль, 2023</t>
  </si>
  <si>
    <t>489300.06.01</t>
  </si>
  <si>
    <t>Заведующие кафедрами университетов России: Моногр. / О.А.Сазыкина - М.:НИЦ ИНФРА-М,2022-193с.(П)</t>
  </si>
  <si>
    <t>ЗАВЕДУЮЩИЕ КАФЕДРАМИ УНИВЕРСИТЕТОВ РОССИИ: СТУПЕНИ РОСТА</t>
  </si>
  <si>
    <t>Резник С.Д., Сазыкина О.А., Резник С.Д.</t>
  </si>
  <si>
    <t>978-5-16-011755-3</t>
  </si>
  <si>
    <t>38.04.02, 38.03.01, 38.03.03</t>
  </si>
  <si>
    <t>338100.06.01</t>
  </si>
  <si>
    <t>Здоровье ребенка в совр. информ. среде: Уч.мет.пос. / Т.Н.Ле-ван - М.:Форум, НИЦ ИНФРА-М,2023 - 224 с.(ВО)(О)</t>
  </si>
  <si>
    <t>ЗДОРОВЬЕ РЕБЕНКА В СОВРЕМЕННОЙ ИНФОРМАЦИОННОЙ СРЕДЕ</t>
  </si>
  <si>
    <t>Ле-ван Т.Н.</t>
  </si>
  <si>
    <t>978-5-00091-040-5</t>
  </si>
  <si>
    <t>44.04.02, 44.04.01, 44.05.01, 44.03.01, 44.03.05, 44.03.02</t>
  </si>
  <si>
    <t>Рекомендовано в качестве учебного пособия для студентов высших учебных заведений, обучающихся по направлениям подготовки 44.03.01 «Педагогическое образование», 44.03.02 «Психолого-педагогическое образование» (квалификация (степень) «бакалавр»)</t>
  </si>
  <si>
    <t>682861.02.01</t>
  </si>
  <si>
    <t>Здоровье ребенка в совр.информ.среде: Уч.мет.пос. /Т.Н.Ле-ван-М.:Форум,НИЦ ИНФРА-М,2023-224с(СПО)(П)</t>
  </si>
  <si>
    <t>978-5-00091-574-5</t>
  </si>
  <si>
    <t>44.02.03, 44.02.05, 00.02.15, 00.01.04</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</si>
  <si>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укрупненной группе специальностей 44.02.00 «Образование и педагогические науки»</t>
  </si>
  <si>
    <t>633908.06.01</t>
  </si>
  <si>
    <t>Зоопсихология и сравнит.психология...: Уч.пос. / С.Н.Козловская - 2изд.-М.:НИЦ ИНФРА-М,2023-154с.(О)</t>
  </si>
  <si>
    <t>ЗООПСИХОЛОГИЯ И СРАВНИТЕЛЬНАЯ ПСИХОЛОГИЯ. ПРАКТИКУМ, ИЗД.2</t>
  </si>
  <si>
    <t>Козловская С.Н.</t>
  </si>
  <si>
    <t>978-5-16-010406-5</t>
  </si>
  <si>
    <t>Рекомендовано в качестве учебного пособия для студентов высших учебных заведений, обучающихся по направлению подготовки 37.03.01 «Психология» (квалификация (степень) «бакалавр»)</t>
  </si>
  <si>
    <t>Российский государственный социальный университет</t>
  </si>
  <si>
    <t>091050.14.01</t>
  </si>
  <si>
    <t>Игра - ключ к душе ребенка. В чьих руках..: Метод.пос. / Г.И.Репринцева - 2 изд.-М.:Форум,ИНФРА-М,2023-319с.(О)</t>
  </si>
  <si>
    <t>ИГРА - КЛЮЧ К ДУШЕ РЕБЕНКА. В ЧЬИХ РУКАХ ОКАЖЕТСЯ ЭТО ВОЛШЕБНОЕ СРЕДСТВО?, ИЗД.2</t>
  </si>
  <si>
    <t>Репринцева Г.И.</t>
  </si>
  <si>
    <t>978-5-00091-608-7</t>
  </si>
  <si>
    <t>Методическое пособие</t>
  </si>
  <si>
    <t>37.03.01, 37.04.01, 44.04.02, 44.03.01, 44.03.02</t>
  </si>
  <si>
    <t>0219</t>
  </si>
  <si>
    <t>091050.05.98</t>
  </si>
  <si>
    <t>Игра - ключ к душе ребенка. Гармон. отнош. ребенка: Метод.пос. / Г.И.Репринцева-М:Форум,2017-240с(п)</t>
  </si>
  <si>
    <t>ИГРА - КЛЮЧ К ДУШЕ РЕБЕНКА. ГАРМОНИЗАЦИЯ ОТНОШЕНИЙ РЕБЕНКА С ОКРУЖАЮЩИМ МИРОМ</t>
  </si>
  <si>
    <t>Репринцева Г. И.</t>
  </si>
  <si>
    <t>978-5-91134-194-7</t>
  </si>
  <si>
    <t>Рекомендовано Ученым Советом ИСПП Российской академии образования в качестве методического пособия</t>
  </si>
  <si>
    <t>0108</t>
  </si>
  <si>
    <t>108950.09.01</t>
  </si>
  <si>
    <t>Игра: дидактическая, ролевая, деловая. Решение учебных... / Л.И.Федорова - М.: Форум, ИНФРА-М,2023 -136с.(о)</t>
  </si>
  <si>
    <t>ИГРА: ДИДАКТИЧЕСКАЯ, РОЛЕВАЯ, ДЕЛОВАЯ</t>
  </si>
  <si>
    <t>Федорова Л.И.</t>
  </si>
  <si>
    <t>978-5-00091-749-7</t>
  </si>
  <si>
    <t>0109</t>
  </si>
  <si>
    <t>664712.04.01</t>
  </si>
  <si>
    <t>Играем вместе: воспит. самостоятельности: Уч.мет.пос. / Т.Ю.Бутусова-М.:НИЦ ИНФРА-М,2024.-148 с.(П)</t>
  </si>
  <si>
    <t>ИГРАЕМ ВМЕСТЕ: ВОСПИТАНИЕ САМОСТОЯТЕЛЬНОСТИ</t>
  </si>
  <si>
    <t>Бутусова Т.Ю.</t>
  </si>
  <si>
    <t>978-5-16-014445-0</t>
  </si>
  <si>
    <t>Институт коррекционной педагогики Российской академии образования</t>
  </si>
  <si>
    <t>713677.03.01</t>
  </si>
  <si>
    <t>Игровые коммуникатив. техн. в усл. инклюзив. обр.: Уч.пос./ С.В.Гайченко-М.:НИЦ ИНФРА-М,2024-83с.(ВО) (о)</t>
  </si>
  <si>
    <t>ИГРОВЫЕ КОММУНИКАТИВНЫЕ ТЕХНОЛОГИИ В УСЛОВИЯХ ИНКЛЮЗИВНОГО ОБРАЗОВАНИЯ</t>
  </si>
  <si>
    <t>Гайченко С.В.</t>
  </si>
  <si>
    <t>978-5-16-019175-1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</si>
  <si>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44.03.03 «Специальное (дефектологическое) образование» (протокол № 12 от 24.06.2019)</t>
  </si>
  <si>
    <t>730657.04.01</t>
  </si>
  <si>
    <t>Игровые коммуникатив. технологии в условиях инклюзив. обр.: Уч.пос. / С.В.Гайченко-М.:НИЦ ИНФРА-М,2024-83 с.(О)</t>
  </si>
  <si>
    <t>978-5-16-015951-5</t>
  </si>
  <si>
    <t>44.02.01, 44.02.04, 44.02.05</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</si>
  <si>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специальностям 44.02.01 «Дошкольное образование», 44.02.04 «Специальное дошкольное образование», 44.02.05 «Коррекционная педагогика в начальном образовании» (протокол № 8 от 22.06.2020)</t>
  </si>
  <si>
    <t>682866.07.01</t>
  </si>
  <si>
    <t>Игры и занятия с детьми раннего возр...: Уч.мет.пос. / Под ред.Стребелевой Е.А. - 3 изд.-М.:ИНФРА-М,2023-160(СПО)(П)</t>
  </si>
  <si>
    <t>ИГРЫ И ЗАНЯТИЯ С ДЕТЬМИ РАННЕГО ВОЗРАСТА С ПСИХОФИЗИЧЕСКИМИ НАРУШЕНИЯМИ, ИЗД.3</t>
  </si>
  <si>
    <t>Браткова М.В., Выродова И.А., Закрепина А.В. и др.</t>
  </si>
  <si>
    <t>978-5-16-013918-0</t>
  </si>
  <si>
    <t>ПО2</t>
  </si>
  <si>
    <t>0319</t>
  </si>
  <si>
    <t>298000.10.01</t>
  </si>
  <si>
    <t>Игры и занятия с детьми раннего возраста.. / Под ред Е.А.Стребелевой -3 изд -М:НИЦ ИНФРА-М,2023-160c(П)</t>
  </si>
  <si>
    <t>978-5-16-011825-3</t>
  </si>
  <si>
    <t>Практическое пособие</t>
  </si>
  <si>
    <t>0316</t>
  </si>
  <si>
    <t>682867.11.01</t>
  </si>
  <si>
    <t>Игры и игровые задания для детей раннего возраста..:Практ.пос./Стребелева Е.А.- 4 изд.-М.:НИЦ ИНФРА-М,2024-148с(О)</t>
  </si>
  <si>
    <t>ИГРЫ И ИГРОВЫЕ ЗАДАНИЯ ДЛЯ ДЕТЕЙ РАННЕГО ВОЗРАСТА С ОГРАНИЧЕННЫМИ ВОЗМОЖНОСТЯМИ ЗДОРОВЬЯ, ИЗД.4</t>
  </si>
  <si>
    <t>Стребелева Е.А., Закрепина А.В., Кинаш Е.А. и др.</t>
  </si>
  <si>
    <t>978-5-16-015808-2</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</si>
  <si>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специальностям 44.02.03 «Педагогика дополнительного образования», 44.02.04 «Специальное дошкольное образование», 44.02.05 «Коррекционная педагогика в начальном образовании» (протокол № 12 от 24.06.2019)</t>
  </si>
  <si>
    <t>682867.04.01</t>
  </si>
  <si>
    <t>Игры и игровые задания для детей раннего возраста..:Практ.пос./Стребелева Е.А.-М.:НИЦ ИНФРА-М,2020-109с(О)</t>
  </si>
  <si>
    <t>ИГРЫ И ИГРОВЫЕ ЗАДАНИЯ ДЛЯ ДЕТЕЙ РАННЕГО ВОЗРАСТА С ОГРАНИЧЕННЫМИ ВОЗМОЖНОСТЯМИ ЗДОРОВЬЯ</t>
  </si>
  <si>
    <t>978-5-16-014086-5</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</si>
  <si>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специальностям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t>
  </si>
  <si>
    <t>305000.04.01</t>
  </si>
  <si>
    <t>Игры и игровые задания для детей.. / Под ред. Стребелевой Е.А. - М.:НИЦ ИНФРА-М,2019.-109 с.(О)</t>
  </si>
  <si>
    <t>978-5-16-011835-2</t>
  </si>
  <si>
    <t>44.04.02, 44.04.01, 44.04.03, 44.03.01, 44.03.05, 44.03.02, 44.03.03</t>
  </si>
  <si>
    <t>305000.09.01</t>
  </si>
  <si>
    <t>Игры и игровые задания для детей.. / Под ред. Стребелевой Е.А. - М.:НИЦ ИНФРА-М,2024.-148 с.(О)</t>
  </si>
  <si>
    <t>978-5-16-015082-6</t>
  </si>
  <si>
    <t>363700.08.01</t>
  </si>
  <si>
    <t>Индивидуальное психолог.консульт.:основы теории.: Уч.пос./Р.М.Айсина-ИЦ РИОР,НИЦ ИНФРА-М,2024-148(ВО)</t>
  </si>
  <si>
    <t>ИНДИВИДУАЛЬНОЕ ПСИХОЛОГИЧЕСКОЕ КОНСУЛЬТИРОВАНИЕ: ОСНОВЫ ТЕОРИИ И ПРАКТИКИ</t>
  </si>
  <si>
    <t>Айсина Р.М.</t>
  </si>
  <si>
    <t>ИЦ РИОР</t>
  </si>
  <si>
    <t>СПО</t>
  </si>
  <si>
    <t>978-5-369-01467-7</t>
  </si>
  <si>
    <t>37.03.01, 37.04.01, 37.05.01</t>
  </si>
  <si>
    <t>Северо-Кавказский федеральный университет</t>
  </si>
  <si>
    <t>239500.07.01</t>
  </si>
  <si>
    <t>Инженерная педагогика. Проблемы, опыт, предлож.: Уч.пос. / В.А.Жуков-М.:НИЦ ИНФРА-М,2023.-197 с.(ВО)(о)</t>
  </si>
  <si>
    <t>ИНЖЕНЕРНАЯ ПЕДАГОГИКА. ПРОБЛЕМЫ, ОПЫТ, ПРЕДЛОЖЕНИЯ</t>
  </si>
  <si>
    <t>Жуков В. А.</t>
  </si>
  <si>
    <t>Высшее образование: Аспирантура</t>
  </si>
  <si>
    <t>978-5-16-009221-8</t>
  </si>
  <si>
    <t>44.04.01, 44.04.04, 44.03.01, 44.03.05, 44.03.04</t>
  </si>
  <si>
    <t>Рекомендовано Учебно-методическим объединением по университетскому политехническому образованию в качестве учебно-методического пособия для организаторов образовательного процесса и преподавателей высших учебных заведений технического профиля</t>
  </si>
  <si>
    <t>Санкт-Петербургский государственный политехнический университет Петра Великого</t>
  </si>
  <si>
    <t>0114</t>
  </si>
  <si>
    <t>411450.08.01</t>
  </si>
  <si>
    <t>Инженерная педагогика: Науч.-мет. пос. / Л.А. Найниш - М.: НИЦ Инфра-М, 2024. - 88 с.(ВО) (о)</t>
  </si>
  <si>
    <t>ИНЖЕНЕРНАЯ ПЕДАГОГИКА</t>
  </si>
  <si>
    <t>Найниш Л. А., Люсев В. Н.</t>
  </si>
  <si>
    <t>978-5-16-006002-6</t>
  </si>
  <si>
    <t>44.04.02, 44.04.01, 44.04.04, 44.06.01, 44.07.01, 44.03.01, 44.03.05, 44.03.04</t>
  </si>
  <si>
    <t>Допущено Учебно-методическим объединением по профессионально- педагогическому образованию в качестве учебного пособия для слушателей институтов и факультетов повышения квалификации, преподавателей, аспирантов и других профессионально-педагогических р</t>
  </si>
  <si>
    <t>Пензенский государственный университет</t>
  </si>
  <si>
    <t>714122.04.01</t>
  </si>
  <si>
    <t>Инклюзивное обуч. детей с огранич. возмож...: Уч.мет.пос. / Л.И.Плаксина -  М.:НИЦ ИНФРА-М,2024-192 с.(ВО)(П)</t>
  </si>
  <si>
    <t>ИНКЛЮЗИВНОЕ ОБУЧЕНИЕ ДЕТЕЙ С ОГРАНИЧЕННЫМИ ВОЗМОЖНОСТЯМИ ЗДОРОВЬЯ ПСИХОЛОГО-ПЕДАГОГИЧЕСКОЕ СОПРОВОЖДЕНИЕ ДОШКОЛЬНИКОВ С НАРУШЕНИЯМИ ЗРЕНИЯ</t>
  </si>
  <si>
    <t>Плаксина Л.И., Дружинина Л.А., Осипова Л.Б.</t>
  </si>
  <si>
    <t>978-5-16-018496-8</t>
  </si>
  <si>
    <t>44.04.02, 44.04.01, 44.04.03, 44.03.01, 44.03.02, 44.03.03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</si>
  <si>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44.03.02 «Психолого-педагогическое образование», 44.03.03 «Специальное (дефектологическое) образование», 44.03.01 «Педагогическое образование» (квалификация (степень) «бакалавр») (протокол № 10 от 12.10.2020)</t>
  </si>
  <si>
    <t>Московский педагогический государственный университет</t>
  </si>
  <si>
    <t>763713.04.01</t>
  </si>
  <si>
    <t>Инклюзивное обуч. детей с огранич. возмож...: Уч.мет.пос. / Л.И.Плаксина - М.:НИЦ ИНФРА-М,2024 - 192 с.(П)</t>
  </si>
  <si>
    <t>978-5-16-017120-3</t>
  </si>
  <si>
    <t>44.02.04</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</si>
  <si>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педагогическим специальностям (протокол № 3 от 17.03.2021)</t>
  </si>
  <si>
    <t>640373.09.01</t>
  </si>
  <si>
    <t>Инновационная педагогика: Уч.пос. / О.П.Околелов - М.:НИЦ ИНФРА-М,2024 - 167 с.(ВО: Магистр.)(П)</t>
  </si>
  <si>
    <t>ИННОВАЦИОННАЯ ПЕДАГОГИКА</t>
  </si>
  <si>
    <t>Околелов О.П.</t>
  </si>
  <si>
    <t>978-5-16-012564-0</t>
  </si>
  <si>
    <t>44.04.02, 44.04.01, 44.04.03, 44.04.04, 51.04.03</t>
  </si>
  <si>
    <t>Рекомендовано в качестве учебного пособия для студентов высших учебных заведений, обучающихся по направлениям подготовки  44.04.01 «Педагогическое образование», 44.04.02 «Психолого-педагогическое образование», 44.04.03 «Специальное (дефектологическое) образование» (квалификация (степень) «магистр»)</t>
  </si>
  <si>
    <t>Липецкий Государственный Технический Университет</t>
  </si>
  <si>
    <t>473300.06.01</t>
  </si>
  <si>
    <t>Инновационно ориентир.подготовка..: Моногр. / А.А.Симонова - 2изд. - М.:НИЦ ИНФРА-М,2021 - 134с.(о)</t>
  </si>
  <si>
    <t>ИННОВАЦИОННО ОРИЕНТИРОВАННАЯ ПОДГОТОВКА К ПЕДАГОГИЧЕСКОМУ МЕНЕДЖМЕНТУ В НЕПРЕРЫВНОМ ПРОФЕССИОНАЛЬНОМ ОБРАЗОВАНИИ, ИЗД.2</t>
  </si>
  <si>
    <t>Симонова А.А.</t>
  </si>
  <si>
    <t>978-5-16-010631-1</t>
  </si>
  <si>
    <t>44.04.02, 44.03.01, 44.03.05, 44.03.04, 44.03.03</t>
  </si>
  <si>
    <t>307300.04.01</t>
  </si>
  <si>
    <t>Инновационные модели проф. гуман. подгот..: Науч.пос. / Е.А.Соколков - М.:Вуз.уч.,НИЦ ИНФРА-М,2022-192c.(П)</t>
  </si>
  <si>
    <t>ИННОВАЦИОННЫЕ МОДЕЛИ ПРОФЕССИОНАЛЬНОЙ ГУМАНИТАРНОЙ ПОДГОТОВКИ В ВУЗЕ</t>
  </si>
  <si>
    <t>Соколков Е.А.</t>
  </si>
  <si>
    <t>978-5-9558-0395-1</t>
  </si>
  <si>
    <t>37.03.01, 45.04.04, 37.04.01, 44.04.02, 45.04.01, 51.04.01, 44.04.01, 44.04.03, 44.04.04, 44.03.01, 44.03.05, 45.03.01, 44.03.04, 44.03.02, 44.03.03, 45.03.04, 51.03.01</t>
  </si>
  <si>
    <t>Рекомендовано Учебно-методическим объединением вузов России по образованию в области менеджмента в качестве учебного пособия для студентов высших учебных заведений, обучающихся по направлениям 38.03.02 «Менеджмент» и 38.03.03 «Управление персоналом»</t>
  </si>
  <si>
    <t>Новосибирский национальный исследовательский государственный университет</t>
  </si>
  <si>
    <t>649556.07.01</t>
  </si>
  <si>
    <t>Инновационные модели проф. деят. педагог.: Моногр./ Под ред. Сергеевой В.П. - М.:НИЦ ИНФРА-М,2024 - 165с.(П)</t>
  </si>
  <si>
    <t>ИННОВАЦИОННЫЕ МОДЕЛИ ПРОФЕССИОНАЛЬНОЙ ДЕЯТЕЛЬНОСТИ ПЕДАГОГОВ В ОБРАЗОВАТЕЛЬНЫХ ОРГАНИЗАЦИЯХ В ЦЕЛЯХ СОЦИАЛИЗАЦИИ ДЕТЕЙ И МОЛОДЕЖИ</t>
  </si>
  <si>
    <t>Подымова Л.С., Сергеева В.П., Гайнуллова Ф.С. и др.</t>
  </si>
  <si>
    <t>978-5-16-012696-8</t>
  </si>
  <si>
    <t>44.04.02, 44.04.01, 44.03.01, 44.03.05, 44.03.02</t>
  </si>
  <si>
    <t>421150.10.01</t>
  </si>
  <si>
    <t>Иностранные языки: психология усвоения: Уч.пос. / Н.Т.Ерчак-М.:НИЦ ИНФРА-М,2024.-336 с.(ВО)(п)</t>
  </si>
  <si>
    <t>ИНОСТРАННЫЕ ЯЗЫКИ: ПСИХОЛОГИЯ УСВОЕНИЯ</t>
  </si>
  <si>
    <t>Ерчак Н. Т.</t>
  </si>
  <si>
    <t>978-5-16-019258-1</t>
  </si>
  <si>
    <t>37.03.01, 37.04.01, 44.04.02, 45.04.02, 45.03.02, 44.03.02</t>
  </si>
  <si>
    <t>Допущено Министерством образования Республики Беларусь в качестве учебного пособия для магистрантов учреждений высшего образования по специальностям «Теория и методика обучения и воспитания (иностранные языки)», «Общая педагогика, история педагогики и образования», «Психология»</t>
  </si>
  <si>
    <t>148400.07.01</t>
  </si>
  <si>
    <t>Интеркультурная педагогика младшего возраста: Уч. / Е.Ю. Протасова - М.: Форум, 2022-400с. (п)</t>
  </si>
  <si>
    <t>ИНТЕРКУЛЬТУРНАЯ ПЕДАГОГИКА МЛАДШЕГО ВОЗРАСТА</t>
  </si>
  <si>
    <t>Протасова Е. Ю., Родина Н. М.</t>
  </si>
  <si>
    <t>978-5-91134-500-6</t>
  </si>
  <si>
    <t>49.02.01, 44.02.01, 44.02.02, 44.02.03, 44.02.05, 44.04.01, 44.04.04, 44.03.01, 44.03.05, 44.03.04</t>
  </si>
  <si>
    <t>682872.02.01</t>
  </si>
  <si>
    <t>Интеркультурная педагогика младшего возраста: Уч. / Е.Ю.Протасова-М.:Форум, НИЦ ИНФРА-М,2023-400с(П)</t>
  </si>
  <si>
    <t>Протасова Е.Ю., Родина Н.М.</t>
  </si>
  <si>
    <t>978-5-00091-543-1</t>
  </si>
  <si>
    <t>44.02.03, 44.02.05</t>
  </si>
  <si>
    <t>Рекомендовано Учебно-методическим советом СПО в качестве учебника для студентов учебных заведений, реализующих программу среднего профессионального образования по укрупненной группе специальностей 44.02.00 «Образование и педагогические науки»</t>
  </si>
  <si>
    <t>163850.08.01</t>
  </si>
  <si>
    <t>Интернет-психология / А.Е.Баранов - М.:ИЦ РИОР, НИЦ ИНФРА-М,2022 - 264 с.(Практич. психология)(О)</t>
  </si>
  <si>
    <t>ИНТЕРНЕТ-ПСИХОЛОГИЯ</t>
  </si>
  <si>
    <t>Баранов А. Е.</t>
  </si>
  <si>
    <t>Практическая психология</t>
  </si>
  <si>
    <t>978-5-369-01000-6</t>
  </si>
  <si>
    <t>Практическое руководство</t>
  </si>
  <si>
    <t>35.02.12, 38.02.07, 38.02.03, 42.04.05, 42.04.01, 37.04.01, 37.06.01, 42.06.01, 44.03.01, 44.03.05</t>
  </si>
  <si>
    <t>NBmarketing</t>
  </si>
  <si>
    <t>646084.03.01</t>
  </si>
  <si>
    <t>Информационно-коммуникац. технологии в спец. обр.: Уч. / И.А.Никольская - 2изд.-М.:НИЦ ИНФРА-М,2024.-232 с.(ВО)(п)</t>
  </si>
  <si>
    <t>ИНФОРМАЦИОННО-КОММУНИКАЦИОННЫЕ ТЕХНОЛОГИИ В СПЕЦИАЛЬНОМ ОБРАЗОВАНИИ, ИЗД.2</t>
  </si>
  <si>
    <t>Никольская И.А.</t>
  </si>
  <si>
    <t>978-5-16-019267-3</t>
  </si>
  <si>
    <t>44.05.01, 44.03.03</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</si>
  <si>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44.03.03 «Специальное (дефектологическое) образование»  (квалификация (степень) «бакалавр») (протокол № 7 от 08.06.2020)</t>
  </si>
  <si>
    <t>Национальный исследовательский Томский политехнический университет</t>
  </si>
  <si>
    <t>742205.01.01</t>
  </si>
  <si>
    <t>Информационно-коммуникац/технологии в спец.образ/ Уч. / И.А.Никольская, - 2изд.,М.:НИЦ ИНФРА-М,2021.-232с (П)</t>
  </si>
  <si>
    <t>978-5-16-016425-0</t>
  </si>
  <si>
    <t>Рекомендовано Межрегиональным учебно-методическим советом профессионального образования в качестве учебника для студентов учреждений среднего профессионального образования, обучающихся по специальности  44.02.05 «Коррекционная педагогика в начальном образовании» (протокол № 7 от 08.06.2020)</t>
  </si>
  <si>
    <t>468150.05.01</t>
  </si>
  <si>
    <t>Информационно-предметное обеспеч. учеб. дисцип...: Уч.-метод. пос. /Н.А.Логинова -ИНФРА-М,2024-124(О)</t>
  </si>
  <si>
    <t>ИНФОРМАЦИОННО-ПРЕДМЕТНОЕ ОБЕСПЕЧЕНИЕ УЧЕБНЫХ ДИСЦИПЛИН БАКАЛАВРИАТА И МАГИСТРАТУРЫ</t>
  </si>
  <si>
    <t>Логинова Н.А.</t>
  </si>
  <si>
    <t>978-5-16-009859-3</t>
  </si>
  <si>
    <t>44.00.00</t>
  </si>
  <si>
    <t>Санкт-Петербургский государственный экономический университет</t>
  </si>
  <si>
    <t>117950.07.01</t>
  </si>
  <si>
    <t>Исследовательские университеты США / Под ред. В.Б. Супяна - М.: Магистр, 2023 - 399 с. (п)</t>
  </si>
  <si>
    <t>ИССЛЕДОВАТЕЛЬСКИЕ УНИВЕРСИТЕТЫ США</t>
  </si>
  <si>
    <t>Супян В. Б.</t>
  </si>
  <si>
    <t>Магистр</t>
  </si>
  <si>
    <t>978-5-9776-0120-7</t>
  </si>
  <si>
    <t>44.04.02, 44.04.01, 44.04.04, 44.03.01, 44.03.02</t>
  </si>
  <si>
    <t>Институт США и Канады Российской академии наук</t>
  </si>
  <si>
    <t>734288.04.01</t>
  </si>
  <si>
    <t>Исследовательский интеллект, решающий педагогич. пробл. / А.В.Коржуев-М.:НИЦ ИНФРА-М,2023.-193 с.(О)</t>
  </si>
  <si>
    <t>ИССЛЕДОВАТЕЛЬСКИЙ ИНТЕЛЛЕКТ, РЕШАЮЩИЙ ПЕДАГОГИЧЕСКИЕ ПРОБЛЕМЫ</t>
  </si>
  <si>
    <t>Коржуев А.В., Никитина Э.К.</t>
  </si>
  <si>
    <t>978-5-16-016196-9</t>
  </si>
  <si>
    <t>44.04.02, 44.04.01, 44.04.03, 44.04.04, 44.06.01</t>
  </si>
  <si>
    <t>Первый Московский государственный медицинский университет им. И.М. Сеченова</t>
  </si>
  <si>
    <t>645375.06.01</t>
  </si>
  <si>
    <t>История  научной психологии: Уч. / Г.М.Бреслав-М.:НИЦ ИНФРА-М,2023.-539 с..-(ВО: Специалитет)(п)</t>
  </si>
  <si>
    <t>ИСТОРИЯ  НАУЧНОЙ ПСИХОЛОГИИ</t>
  </si>
  <si>
    <t>Бреслав Г.М.</t>
  </si>
  <si>
    <t>Высшее образование: Специалитет</t>
  </si>
  <si>
    <t>978-5-16-012833-7</t>
  </si>
  <si>
    <t>Профессиональное образование / ВО - Специалитет</t>
  </si>
  <si>
    <t>37.03.01, 37.05.02, 37.05.01, 44.05.01</t>
  </si>
  <si>
    <t>Рекомендовано в качестве учебника для студентов высших учебных заведений, обучающихся по направлениям подготовки 37.03.01 «Психология» (квалификация (степень) «бакалавр»); 37.05.01 «Клиническая психология» (квалификация «клинический психолог»); 44.05.01 «Педагогика и психология девиантного поведения» (квалификация «социальный педагог»)</t>
  </si>
  <si>
    <t>651840.03.01</t>
  </si>
  <si>
    <t>История  разв.форм  орг.уч.проц.в высш.шк.Китая(с н.ХХ в.до1960-х гг):/М.Ху-М.:НИЦ ИНФРА-М,2020-110с(П)</t>
  </si>
  <si>
    <t>ИСТОРИЯ  РАЗВИТИЯ  ФОРМ  ОРГАНИЗАЦИИ УЧЕБНОГО ПРОЦЕССА В ВЫСШЕЙ ШКОЛЕ  КИТАЯ  (С НАЧАЛА  ХХ В. ДО 1960-Х ГГ.)</t>
  </si>
  <si>
    <t>Ху М., Карнаух Н.В.</t>
  </si>
  <si>
    <t>978-5-16-012752-1</t>
  </si>
  <si>
    <t>44.04.02, 39.04.02, 44.04.01, 51.04.02, 44.03.01, 44.03.05, 44.03.02, 51.03.02</t>
  </si>
  <si>
    <t>768230.01.01</t>
  </si>
  <si>
    <t>История активной педагогики: Монография / В.Н.Кругликов.-М.:НИЦ ИНФРА-М,2022.-612 с.(Науч.мысль)(П)</t>
  </si>
  <si>
    <t>ИСТОРИЯ АКТИВНОЙ ПЕДАГОГИКИ</t>
  </si>
  <si>
    <t>Кругликов В.Н., Гулк Е.Б., Захаров К.П.</t>
  </si>
  <si>
    <t>978-5-16-017508-9</t>
  </si>
  <si>
    <t>654483.01.01</t>
  </si>
  <si>
    <t>История образования и педагог. мысли: В 3 т.Т.3..: Моногр. / А.Г Чернявский - НИЦ ИНФРА-М,2020-380с.(П)</t>
  </si>
  <si>
    <t>ИСТОРИЯ ОБРАЗОВАНИЯ И ПЕДАГОГИЧЕСКОЙ МЫСЛИ: В 3 ТОМАХ ТОМ 3: ПРАВОВОЕ РЕГУЛИРОВАНИЕ ГОСУДАРСТВЕННОГО КОНТРОЛЯ КАЧЕСТВА ОБРАЗОВАНИЯ, Т.3</t>
  </si>
  <si>
    <t>Чернявский А.Г., Пашенцев Д.А., Ладнушкина Н.М. и др.</t>
  </si>
  <si>
    <t>978-5-16-015407-7</t>
  </si>
  <si>
    <t>Военный университет Министерства обороны Российский Федерации</t>
  </si>
  <si>
    <t>652734.05.01</t>
  </si>
  <si>
    <t>История образования и педагог. мысли: Т.1: Моногр. / А.Г.Чернявский - М.:НИЦ ИНФРА-М,2023 - 264 с.(П)</t>
  </si>
  <si>
    <t>ИСТОРИЯ ОБРАЗОВАНИЯ И ПЕДАГОГИЧЕСКОЙ МЫСЛИ, Т.1</t>
  </si>
  <si>
    <t>Чернявский А.Г., Грудцына Л.Ю., Пашенцев Д.А.</t>
  </si>
  <si>
    <t>Научная мысль - Финансовый университет</t>
  </si>
  <si>
    <t>978-5-16-012649-4</t>
  </si>
  <si>
    <t>44.04.02, 44.04.01, 44.04.03, 44.04.04, 44.05.01, 44.03.01, 44.03.05, 44.03.04, 44.03.02, 44.03.03</t>
  </si>
  <si>
    <t>654482.04.01</t>
  </si>
  <si>
    <t>История образования и педагогической мысли: Т.2: Моногр. / А.Г.Чернявский -М.:НИЦ ИНФРА-М,2023.-243с(П)</t>
  </si>
  <si>
    <t>ИСТОРИЯ ОБРАЗОВАНИЯ И ПЕДАГОГИЧЕСКОЙ МЫСЛИ: ТОМ 2: ТЕОРИЯ, Т.2</t>
  </si>
  <si>
    <t>Чернявский А.Г., Пашенцев Д.А., Грудцына Л.Ю.</t>
  </si>
  <si>
    <t>Научная мысль - 100 лет ФУ</t>
  </si>
  <si>
    <t>978-5-16-013179-5</t>
  </si>
  <si>
    <t>435950.10.01</t>
  </si>
  <si>
    <t>История педагогики в лицах: Уч.пос. / В.А.Капранова - М.:НИЦ ИНФРА-М, Нов.знание,2024 -176 с.(ВО)(П)</t>
  </si>
  <si>
    <t>ИСТОРИЯ ПЕДАГОГИКИ В ЛИЦАХ</t>
  </si>
  <si>
    <t>Капранова В. А.</t>
  </si>
  <si>
    <t>978-5-16-006708-7</t>
  </si>
  <si>
    <t>Рекомендовано в качестве учебного пособия для студентов высших учебных заведений, обучающихся по УГС 44.00.00 «Образование и педагогические науки» (квалификация (степень) «бакалавр»)</t>
  </si>
  <si>
    <t>Белорусский государственный педагогический университет им. М. Танка</t>
  </si>
  <si>
    <t>737773.01.01</t>
  </si>
  <si>
    <t>История педагогики и образования в России: Уч.пос. / А.М.Аллагулов-М.:НИЦ ИНФРА-М,2024.-205 с.(ВО)(п)</t>
  </si>
  <si>
    <t>ИСТОРИЯ ПЕДАГОГИКИ И ОБРАЗОВАНИЯ В РОССИИ</t>
  </si>
  <si>
    <t>Аллагулов А.М., Рындак В.Г., Торшина А.В.</t>
  </si>
  <si>
    <t>978-5-16-017370-2</t>
  </si>
  <si>
    <t>Оренбургский государственный педагогический университет</t>
  </si>
  <si>
    <t>649114.05.01</t>
  </si>
  <si>
    <t>История подготовки преподават. универ. Рос. в XIX в.: Моногр./Н.В.Карнаух-М:НИЦ ИНФРА-М,2023-150с(П)</t>
  </si>
  <si>
    <t>ИСТОРИЯ ПОДГОТОВКИ ПРЕПОДАВАТЕЛЕЙ УНИВЕРСИТЕТОВ РОССИИ В XIX ВЕКЕ</t>
  </si>
  <si>
    <t>978-5-16-015929-4</t>
  </si>
  <si>
    <t>51.04.04, 44.04.02, 47.04.03, 44.04.01, 35.04.08</t>
  </si>
  <si>
    <t>364400.03.01</t>
  </si>
  <si>
    <t>Как можно учить физике: методика обуч..: Уч.пос./С.А.Горбушин-М:НИЦ ИНФРА-М,2018-484с-(ВО:Бакал.)(п)</t>
  </si>
  <si>
    <t>КАК МОЖНО УЧИТЬ ФИЗИКЕ: МЕТОДИКА ОБУЧЕНИЯ ФИЗИКЕ</t>
  </si>
  <si>
    <t>Горбушин С.А.</t>
  </si>
  <si>
    <t>978-5-16-010991-6</t>
  </si>
  <si>
    <t>Рекомендовано УМО по образованию в области подготовки педагогических кадров в качестве учебного пособия для осуществления образовательной деятельности по направлениям подготовки 44.03.01 «Педагогическое образование» и 44.03.05 «Педагогическое образование (с двумя профилями подготовки)»</t>
  </si>
  <si>
    <t>189650.16.01</t>
  </si>
  <si>
    <t>Как написать, оформ. и защ. выпуск. квалиф. работу: Уч.пос./В.П.Невежин-Форум,НИЦ ИНФРА-М,2024-112с</t>
  </si>
  <si>
    <t>КАК НАПИСАТЬ, ОФОРМИТЬ И ЗАЩИТИТЬ ВЫПУСКНУЮ КВАЛИФИКАЦИОННУЮ РАБОТУ</t>
  </si>
  <si>
    <t>Невежин В. П.</t>
  </si>
  <si>
    <t>978-5-91134-663-8</t>
  </si>
  <si>
    <t>00.03.16, 00.05.16, 00.04.16</t>
  </si>
  <si>
    <t>Рекомендовано Финансовым университетом при Правительстве Российской Федерации в качестве учебного пособия для студентов, обучающихся по направлению подготовки бакалавров, дипломированых специалистов и магистров</t>
  </si>
  <si>
    <t>Финансовый университет при Правительстве Российской Федерации</t>
  </si>
  <si>
    <t>374900.06.01</t>
  </si>
  <si>
    <t>Как подготовить выпуск. квалиф..: Уч.пос. / Под ред. Фокина В.А.- 2 изд.-М.:Форум, НИЦ ИНФРА-М,2024-142с.(О)</t>
  </si>
  <si>
    <t>КАК ПОДГОТОВИТЬ ВЫПУСКНУЮ КВАЛИФИКАЦИОННУЮ РАБОТУ БАКАЛАВРАМ СОЦИАЛЬНОЙ РАБОТЫ, ИЗД.2</t>
  </si>
  <si>
    <t>Соломатова В.В., Фокин В.А., Фокин В.А.</t>
  </si>
  <si>
    <t>978-5-16-016781-7</t>
  </si>
  <si>
    <t>00.03.16, 00.05.16, 00.04.16, 39.03.02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</si>
  <si>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39.03.02 «Социальная работа» (квалификация (степень) «бакалавр») (протокол № 3 от 17.03.2021)</t>
  </si>
  <si>
    <t>0222</t>
  </si>
  <si>
    <t>374900.02.01</t>
  </si>
  <si>
    <t>Как подготовить выпуск. квалиф..: Уч.пос. / Под ред. Фокина В.А.-М.:Форум, НИЦ ИНФРА-М,2017-51с.(О)</t>
  </si>
  <si>
    <t>КАК ПОДГОТОВИТЬ ВЫПУСКНУЮ КВАЛИФИКАЦИОННУЮ РАБОТУ БАКАЛАВРАМ СОЦИАЛЬНОЙ РАБОТЫ</t>
  </si>
  <si>
    <t>Фокин В.А., Соломатова В.В., Горячева Л.М. и др.</t>
  </si>
  <si>
    <t>978-5-00091-093-1</t>
  </si>
  <si>
    <t>Рекомендовано в качестве учебного пособия для студентов высших учебных заведений, обучающихся по направлению подготовки 39.03.03 «Социальная работа» (квалификация (степень) «бакалавр»)</t>
  </si>
  <si>
    <t>763872.03.01</t>
  </si>
  <si>
    <t>Классики русской лит. в детском чтении: Уч.пос. / Г.М.Первова-М.:НИЦ ИНФРА-М,2024.-205 с.(ВО)(п)</t>
  </si>
  <si>
    <t>КЛАССИКИ РУССКОЙ ЛИТЕРАТУРЫ В ДЕТСКОМ ЧТЕНИИ</t>
  </si>
  <si>
    <t>Первова Г.М.</t>
  </si>
  <si>
    <t>978-5-16-018926-0</t>
  </si>
  <si>
    <t>44.04.01, 44.03.01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</si>
  <si>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44.03.01 «Педагогическое образование» (квалификация (степень) «бакалавр») (протокол № 6 от 08.06.2022)</t>
  </si>
  <si>
    <t>Тамбовский государственный университет им. Г.Р. Державина</t>
  </si>
  <si>
    <t>106987.10.01</t>
  </si>
  <si>
    <t>Когнитивная психология: Уч.пос. / А.П.Лобанов - 2 изд.-М.:НИЦ ИНФРА-М,Новое зн.,2023-376 с(ВО)(П)</t>
  </si>
  <si>
    <t>КОГНИТИВНАЯ ПСИХОЛОГИЯ, ИЗД.2</t>
  </si>
  <si>
    <t>Лобанов А. П.</t>
  </si>
  <si>
    <t>978-5-16-006030-9</t>
  </si>
  <si>
    <t>37.03.01, 37.05.02, 37.05.01, 39.03.01, 37.03.02, 44.03.01, 44.03.05, 44.03.04, 44.03.02, 44.03.03, 39.03.02, 39.03.03</t>
  </si>
  <si>
    <t>Допущено Мин. обр. РБ в качестве учебного пособия для студентов учреждеений высшего образования по психологическим и педагогическим специальностям</t>
  </si>
  <si>
    <t>0212</t>
  </si>
  <si>
    <t>164550.04.98</t>
  </si>
  <si>
    <t>Комплексное восстановл. речи у взрослых пациентов... /В.А.Тинин -М.:ИЦ РИОР, НИЦ ИНФРА-М,2017-11с(О)</t>
  </si>
  <si>
    <t>КОМПЛЕКСНОЕ ВОССТАНОВЛЕНИЕ РЕЧИ У ВЗРОСЛЫХ ПАЦИЕНТОВ</t>
  </si>
  <si>
    <t>Тинин В.А.</t>
  </si>
  <si>
    <t>Наука и практика</t>
  </si>
  <si>
    <t>978-5-369-00995-6</t>
  </si>
  <si>
    <t>44.04.03, 31.05.01, 31.05.02, 31.08.42</t>
  </si>
  <si>
    <t>672162.05.01</t>
  </si>
  <si>
    <t>Комплексное медико-псих.-педаг. сопров.лиц...: Моногр./В.Г.Гончарова-М.:НИЦ ИНФРА-М,СФУ,2024-248с(о)</t>
  </si>
  <si>
    <t>КОМПЛЕКСНОЕ МЕДИКО-ПСИХОЛОГО-ПЕДАГОГИЧЕСКОЕ СОПРОВОЖДЕНИЕ ЛИЦ С ОГРАНИЧЕННЫМИ ВОЗМОЖНОСТЯМИ ЗДОРОВЬЯ В УСЛОВИЯХ НЕПРЕРЫВНОГО ИНКЛЮЗИВНОГО ОБРАЗОВАНИЯ</t>
  </si>
  <si>
    <t>Гончарова В.Г., Подопригора В.Г., Гончарова С.И.</t>
  </si>
  <si>
    <t>Научная мысль (СФУ)</t>
  </si>
  <si>
    <t>978-5-16-018908-6</t>
  </si>
  <si>
    <t>44.04.02, 44.04.03, 44.06.01</t>
  </si>
  <si>
    <t>Сибирский федеральный университет</t>
  </si>
  <si>
    <t>657343.05.01</t>
  </si>
  <si>
    <t>Консультативная психология: Уч.пос. / Е.Е.Сапогова - 2 изд. - М.:НИЦ ИНФРА-М,2023 - 427с(ВО: Бакалавр.)(П)</t>
  </si>
  <si>
    <t>КОНСУЛЬТАТИВНАЯ ПСИХОЛОГИЯ, ИЗД.2</t>
  </si>
  <si>
    <t>Сапогова Е.Е.</t>
  </si>
  <si>
    <t>978-5-16-013767-4</t>
  </si>
  <si>
    <t>37.03.01, 44.04.02, 37.05.01, 44.05.01, 44.03.02</t>
  </si>
  <si>
    <t>Рекомендовано Учебно-методическим советом ВО в качестве учебного пособия для студентов высших учебных заведений, обучающихся по направлениям подготовки 37.03.01 «Психология», 44.03.02 «Психолого-педагогическое образование» (квалификация (степень) «бакалавр»)</t>
  </si>
  <si>
    <t>023598.16.01</t>
  </si>
  <si>
    <t>Конфликтология: Уч. / А.В. Дмитриев - 4 изд. - М.: Альфа-М:  НИЦ ИНФРА-М, 2023 - 336 с. (П)</t>
  </si>
  <si>
    <t>КОНФЛИКТОЛОГИЯ, ИЗД.4</t>
  </si>
  <si>
    <t>Дмитриев А. В.</t>
  </si>
  <si>
    <t>Альфа-М</t>
  </si>
  <si>
    <t>978-5-98281-350-3</t>
  </si>
  <si>
    <t>41.03.04, 37.03.01, 41.04.04, 37.04.01, 41.04.05, 41.04.01, 39.04.01, 37.04.02, 38.04.03, 38.04.04, 43.04.03, 23.03.01, 26.03.01, 38.03.01, 38.03.04, 38.03.03, 39.03.01, 37.03.02, 44.03.01, 44.03.05, 39.03.02, 41.03.06, 51.03.02</t>
  </si>
  <si>
    <t>Рекомендовано УМО по образованию в области инновационных  междисциплинарных образовательных программ в качестве учебника по направлению "Конфликтология"</t>
  </si>
  <si>
    <t>Федеральный научно-исследовательский социологический центр Российской академии наук</t>
  </si>
  <si>
    <t>0413</t>
  </si>
  <si>
    <t>123750.11.01</t>
  </si>
  <si>
    <t>Конфликтология: Уч. / Г.И.Козырев - 3 изд. - М.:НИЦ ИНФРА-М,2023 - 289 с.(ВО)(П)</t>
  </si>
  <si>
    <t>КОНФЛИКТОЛОГИЯ, ИЗД.3</t>
  </si>
  <si>
    <t>Козырев Г.И.</t>
  </si>
  <si>
    <t>978-5-16-018512-5</t>
  </si>
  <si>
    <t>37.04.02, 37.05.02, 38.03.01, 38.03.03, 37.03.02, 44.03.05, 39.03.02, 41.03.06</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</si>
  <si>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направлениям подготовки 38.03.01 «Экономика», 38.03.03 «Управление персоналом», 41.03.06 «Публичная политика и социальные науки» (квалификация (степень) «бакалавр») (протокол № 10 от 27.05.2019)</t>
  </si>
  <si>
    <t>Российский химико-технологический университет им. Д.И. Менделеева</t>
  </si>
  <si>
    <t>123750.05.01</t>
  </si>
  <si>
    <t>Конфликтология: Уч. / Г.И.Козырев - М.:ИД ФОРУМ, НИЦ ИНФРА-М,2018 - 304 с.-(ВО)(П)</t>
  </si>
  <si>
    <t>КОНФЛИКТОЛОГИЯ</t>
  </si>
  <si>
    <t>ИД Форум</t>
  </si>
  <si>
    <t>978-5-8199-0738-2</t>
  </si>
  <si>
    <t>Допущено Учебно-методическим объединением по классическому университетскому образованию в качестве учебника для студентов высших учебных заведений, обучающихся по направлению 39.03.01 «Социология»</t>
  </si>
  <si>
    <t>0110</t>
  </si>
  <si>
    <t>024307.27.01</t>
  </si>
  <si>
    <t>Конфликтология: Уч. / Под ред. Кибанова А.Я. - 2 изд. - М.:НИЦ ИНФРА-М,2021 - 301 с.-(ВО)(П)</t>
  </si>
  <si>
    <t>КОНФЛИКТОЛОГИЯ, ИЗД.2</t>
  </si>
  <si>
    <t>Кибанов А. Я., Ворожейкин И. Е., Захаров Д. К., Коновалова В. Г., Кибанов А. Я.</t>
  </si>
  <si>
    <t>978-5-16-005724-8</t>
  </si>
  <si>
    <t>38.02.04, 31.02.04, 38.02.07, 38.02.03, 41.03.04, 37.03.01, 41.04.04, 37.04.01, 41.04.05, 41.04.01, 39.04.01, 37.04.02, 38.04.01, 38.04.02, 38.04.03, 43.04.03, 23.03.01, 38.03.01, 38.03.02, 38.03.03, 39.03.01, 37.03.02, 44.03.01, 44.03.05, 39.03.02, 41.03.06, 51.03.02</t>
  </si>
  <si>
    <t>Рекомендовано Министерством образования и науки Российской Федерации в качестве учебника для студентов высших учебных заведений, обучающихся по направлениям подготовки 38.03.02 «Менеджмент»,  39.03.03 «Управление персоналом»</t>
  </si>
  <si>
    <t>0205</t>
  </si>
  <si>
    <t>064460.07.01</t>
  </si>
  <si>
    <t>Конфликтология: Уч. пос. / Е.А.Земедлина - 2 изд.- М.: ИЦ РИОР:НИЦ Инфра-М, 2023-141с.(ВПО: Бакалавр.) (о)</t>
  </si>
  <si>
    <t>Земедлина Е. А.</t>
  </si>
  <si>
    <t>ВПО: Бакалавриат</t>
  </si>
  <si>
    <t>978-5-369-01082-2</t>
  </si>
  <si>
    <t>37.04.02, 38.03.01, 38.03.03, 37.03.02, 44.03.05, 39.03.02, 41.03.06</t>
  </si>
  <si>
    <t>Российская академия народного хозяйства и государственной службы при Президенте РФ</t>
  </si>
  <si>
    <t>0213</t>
  </si>
  <si>
    <t>704842.07.01</t>
  </si>
  <si>
    <t>Коррекционная помощь детям раннего возраста...: Пос./Е.А. Стребелева.-4 изд.- М.ИНФРА-М,2024-128с(О)</t>
  </si>
  <si>
    <t>КОРРЕКЦИОННАЯ ПОМОЩЬ ДЕТЯМ РАННЕГО ВОЗРАСТА С ОРГАНИЧЕСКИМ ПОРАЖЕНИЕМ ЦЕНТРАЛЬНОЙ НЕРВНОЙ СИСТЕМЫ В ГРУППАХ КРАТКОВРЕМЕННОГО ПРЕБЫВАНИЯ, ИЗД.4</t>
  </si>
  <si>
    <t>Стребелева Е.А., Белякова Ю.Ю., Браткова М.В. и др.</t>
  </si>
  <si>
    <t>978-5-16-014963-9</t>
  </si>
  <si>
    <t>?2</t>
  </si>
  <si>
    <t>0419</t>
  </si>
  <si>
    <t>299000.08.01</t>
  </si>
  <si>
    <t>Коррекционная помощь детям раннего: Пос. / Под ред. Стребелевой Е.А.,-4 изд.-М:НИЦ ИНФРА-М,2023-128с</t>
  </si>
  <si>
    <t>978-5-16-011827-7</t>
  </si>
  <si>
    <t>Дополнительное образование / Дополнительное профессиональное образование / ДПО - повышение квалификации</t>
  </si>
  <si>
    <t>44.04.02, 44.04.03, 44.03.02, 44.03.03</t>
  </si>
  <si>
    <t>0416</t>
  </si>
  <si>
    <t>763137.03.01</t>
  </si>
  <si>
    <t>Коррекционно-восп. раб с детьми дош. возраста с...: Уч.пос. / Т.Г.Неретина - М.:НИЦ ИНФРА-М,2023 - 308 с.(П)</t>
  </si>
  <si>
    <t>КОРРЕКЦИОННО-ВОСПИТАТЕЛЬНАЯ РАБОТА С ДЕТЬМИ ДОШКОЛЬНОГО ВОЗРАСТА С ЗАДЕРЖКОЙ ПСИХИЧЕСКОГО РАЗВИТИЯ</t>
  </si>
  <si>
    <t>Неретина Т.Г.</t>
  </si>
  <si>
    <t>978-5-16-017099-2</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</si>
  <si>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специальностям 44.02.01 «Дошкольное образование», 44.02.04 «Специальное дошкольное образование» (протокол № 2 от 17.02.2021)</t>
  </si>
  <si>
    <t>Магнитогорский государственный технический университет им. Г.И. Носова</t>
  </si>
  <si>
    <t>758858.04.01</t>
  </si>
  <si>
    <t>Коррекционно-восп. работа с детьми дошк. возраста...: Уч.пос. / Т.Г.Неретина - М.:НИЦ ИНФРА-М,2024 - 308 с.(П)</t>
  </si>
  <si>
    <t>978-5-16-018955-0</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</si>
  <si>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44.03.01 «Педагогическое образование», 44.03.03 «Специальное (дефектологическое) образование» (квалификация (степень) «бакалавр») (протокол № 1 от 20.01.2021)</t>
  </si>
  <si>
    <t>ПОПО</t>
  </si>
  <si>
    <t>657113.04.01</t>
  </si>
  <si>
    <t>Коррекционно-воспитат. работа с детьми дош. возраста...: Уч.пос. / Т.Г.Неретина-М.:НИЦ ИНФРА-М,2024.-308 с.(П)</t>
  </si>
  <si>
    <t>978-5-16-015411-4</t>
  </si>
  <si>
    <t>44.02.04, 44.04.03, 44.03.03</t>
  </si>
  <si>
    <t>403100.09.01</t>
  </si>
  <si>
    <t>Коррекция развития детей с особ. обр. потреб.: Уч.-метод.пос. / Т.В.Варенова - М.:Форум,НИЦ ИНФРА-М,2023-272с(п)</t>
  </si>
  <si>
    <t>КОРРЕКЦИЯ РАЗВИТИЯ ДЕТЕЙ С ОСОБЫМИ ОБРАЗОВАТЕЛЬНЫМИ ПОТРЕБНОСТЯМИ</t>
  </si>
  <si>
    <t>Варенова Т. В.</t>
  </si>
  <si>
    <t>978-5-91134-677-5</t>
  </si>
  <si>
    <t>44.04.03, 44.05.01, 44.03.03</t>
  </si>
  <si>
    <t>641138.11.01</t>
  </si>
  <si>
    <t>Краткий словарь русского жестового языка: Сл. / С.Г.Ватага-М.:НИЦ ИНФРА-М,2024-206 с.(Б-ка сл. ИНФРА-М)(О)</t>
  </si>
  <si>
    <t>КРАТКИЙ СЛОВАРЬ РУССКОГО ЖЕСТОВОГО ЯЗЫКА</t>
  </si>
  <si>
    <t>Ватага С.Г.</t>
  </si>
  <si>
    <t>Библиотека словарей ИНФРА-М</t>
  </si>
  <si>
    <t>978-5-16-012330-1</t>
  </si>
  <si>
    <t>Словарь</t>
  </si>
  <si>
    <t>44.04.02, 44.04.01, 44.04.03, 44.04.04, 44.05.01, 44.03.01, 44.03.02, 44.03.03</t>
  </si>
  <si>
    <t>Всероссийское общество глухих</t>
  </si>
  <si>
    <t>674273.03.01</t>
  </si>
  <si>
    <t>Курсовая работа в проф. образ. орг. СПО: Уч.мет.пос. / С.Н.Рыжиков-М.:НИЦ ИНФРА-М,2023.-345 с.(П)</t>
  </si>
  <si>
    <t>КУРСОВАЯ РАБОТА В ПРОФЕССИОНАЛЬНОЙ ОБРАЗОВАТЕЛЬНОЙ ОРГАНИЗАЦИИ СПО</t>
  </si>
  <si>
    <t>978-5-16-014172-5</t>
  </si>
  <si>
    <t>43.02.10, 38.02.04, 38.02.05, 43.02.11, 38.02.06, 38.02.07, 38.02.01, 38.02.02, 38.02.03, 43.02.14</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</si>
  <si>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укрупненным группам специальностей 38.02.00 «Экономика и управление, 43.02.00 «Сервис и туризм» (протокол № 5 от 16.03.2020)</t>
  </si>
  <si>
    <t>154360.11.01</t>
  </si>
  <si>
    <t>Курсовое и дипломное проектирование: Уч. пос. /Н.П.Молоканова -М.:Форум, НИЦ ИНФРА-М,2023-88с(ПО)(о)</t>
  </si>
  <si>
    <t>КУРСОВОЕ И ДИПЛОМНОЕ ПРОЕКТИРОВАНИЕ</t>
  </si>
  <si>
    <t>Молоканова Н.П.</t>
  </si>
  <si>
    <t>978-5-91134-542-6</t>
  </si>
  <si>
    <t>15.01.36, 15.01.26, 15.01.27, 15.02.07, 15.02.14, 15.02.15, 15.01.32, 15.01.33, 15.01.34, 15.01.35</t>
  </si>
  <si>
    <t>Допущено методическим советом Обнинского политехнического техникума в качестве учебного пособия для студентов образовательных учреждений среднего профессионального образования, обучающихся по специальности 15.02.07 «Автоматизация технологических процессов и производств»</t>
  </si>
  <si>
    <t>Среднерусский гуманитарно-технологический институт</t>
  </si>
  <si>
    <t>648905.03.01</t>
  </si>
  <si>
    <t>Лабораторный прак.по инженер.дисцип...: Уч.пос. / А.А.Дорофеев-М.:ИЦ РИОР, НИЦ ИНФРА-М,2024-302с.(ВО) (П)</t>
  </si>
  <si>
    <t>ЛАБОРАТОРНЫЙ ПРАКТИКУМ ПО ИНЖЕНЕРНЫМ ДИСЦИПЛИНАМ: ДИДАКТИКА И МЕТОДИКА</t>
  </si>
  <si>
    <t>Дорофеев А.А.</t>
  </si>
  <si>
    <t>978-5-369-01668-8</t>
  </si>
  <si>
    <t>Профессиональное образование / ВО - Кадры высшей квалификации</t>
  </si>
  <si>
    <t>37.03.01, 44.04.02, 44.04.01</t>
  </si>
  <si>
    <t>Московский государственный технический университет им. Н.Э. Баумана</t>
  </si>
  <si>
    <t>768779.02.01</t>
  </si>
  <si>
    <t>Личностная компетентность спец. правоохранит. сферы...: Моногр. / О.А.Ульянина-М.:ИЦ РИОР, НИЦ ИНФРА-М,2022.-220 с.(П)</t>
  </si>
  <si>
    <t>ЛИЧНОСТНАЯ КОМПЕТЕНТНОСТЬ СПЕЦИАЛИСТОВ ПРАВООХРАНИТЕЛЬНОЙ СФЕРЫ: ПСИХОТЕХНОЛОГИИ ФОРМИРОВАНИЯ В ОБРАЗОВАТЕЛЬНЫХ ОРГАНИЗАЦИЯХ ВЫСШЕГО ОБРАЗОВАНИЯ</t>
  </si>
  <si>
    <t>Ульянина О.А.</t>
  </si>
  <si>
    <t>978-5-369-01884-2</t>
  </si>
  <si>
    <t>40.05.04, 40.05.02, 40.06.01</t>
  </si>
  <si>
    <t>Национальный исследовательский университет "Высшая школа экономики"</t>
  </si>
  <si>
    <t>423600.10.01</t>
  </si>
  <si>
    <t>Логика диссертации: Уч.пос. / Г.Ч.Синченко, - 4 изд.-М.:НИЦ ИНФРА-М,2024.-312 с.(ВО: Аспирантура)(п)</t>
  </si>
  <si>
    <t>ЛОГИКА ДИССЕРТАЦИИ, ИЗД.4</t>
  </si>
  <si>
    <t>Синченко Г.Ч.</t>
  </si>
  <si>
    <t>978-5-16-019348-9</t>
  </si>
  <si>
    <t>00.03.16, 00.05.16, 00.04.16, 47.04.01, 00.04.17, 00.06.01</t>
  </si>
  <si>
    <t>Омская академия Министерства внутренних дел Российской Федерации</t>
  </si>
  <si>
    <t>0415</t>
  </si>
  <si>
    <t>730178.03.01</t>
  </si>
  <si>
    <t>Логопедическая раб. с детьми с задержкой психич. развит.: Уч.мет.пос. / В.В.Морозова-М.:НИЦ ИНФРА-М,2023.-48с(О)</t>
  </si>
  <si>
    <t>ЛОГОПЕДИЧЕСКАЯ РАБОТА С ДЕТЬМИ С ЗАДЕРЖКОЙ ПСИХИЧЕСКОГО РАЗВИТИЯ</t>
  </si>
  <si>
    <t>Морозова В.В.</t>
  </si>
  <si>
    <t>978-5-16-015934-8</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</si>
  <si>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специальностям 44.02.04 «Специальное дошкольное образование», 44.02.05 «Коррекционная педагогика в начальном образовании» (протокол № 14 от 30.09.2019)</t>
  </si>
  <si>
    <t>327900.08.01</t>
  </si>
  <si>
    <t>Логопедическая работа с детьми...: Уч.мет.пос. / В.В.Морозова - М.:НИЦ ИНФРА-М,2023 - 48 с.(о)</t>
  </si>
  <si>
    <t>ЛОГОПЕДИЧЕСКАЯ РАБОТА С ДЕТЬМИ С ЗАДЕРЖКОЙ ПСИХОЛОГИЧЕСКОГО РАЗВИТИЯ</t>
  </si>
  <si>
    <t>Морозова В. В.</t>
  </si>
  <si>
    <t>978-5-16-015958-4</t>
  </si>
  <si>
    <t>Рекомендовано кафедрой логопедии ЛГУ имени А.С. Пушкина в качестве учебно-методического пособия для студентов высших учебных заведений, обучающихся по направлениям подготовки 44.03.03 «Специальное (дефектологическое) образование» (квалификация (степень) «бакалавр») по профилю подготовки «Логопедия» и 44.04.03 «Специальное (дефектологическое) образование» (квалификация (степень) «магистр»)</t>
  </si>
  <si>
    <t>765846.04.01</t>
  </si>
  <si>
    <t>Логопедические технологии диагностики реч. наруш. у дош.: Уч.пос. / Г.Р.Шашкина-М.:НИЦ ИНФРА-М,2024.-219 с.(П)</t>
  </si>
  <si>
    <t>ЛОГОПЕДИЧЕСКИЕ ТЕХНОЛОГИИ ДИАГНОСТИКИ РЕЧЕВЫХ НАРУШЕНИЙ У ДОШКОЛЬНИКОВ</t>
  </si>
  <si>
    <t>978-5-16-018801-0</t>
  </si>
  <si>
    <t>44.04.03, 44.03.01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</si>
  <si>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44.03.01 «Педагогическое образование», 44.03.02 «Психолого-педагогическое образование» (квалификация (степень) «бакалавр») (протокол № 2 от 09.02.2022)</t>
  </si>
  <si>
    <t>768787.03.01</t>
  </si>
  <si>
    <t>Логопедические технологии диагностики реч. наруш. у дош.: Уч.пос./Г.Р.Шашкина.-М.:НИЦ ИНФРА-М,2024-238с(П)</t>
  </si>
  <si>
    <t>978-5-16-017398-6</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</si>
  <si>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44.04.01 «Педагогическое образование», 44.04.02 «Психолого-педагогическое образование», 44.04.03 «Специальное (дефектологическое) образование» (квалификация (степень) «магистр») (протокол № 2 от 09.02.2022)</t>
  </si>
  <si>
    <t>637924.06.01</t>
  </si>
  <si>
    <t>Логопедические технологии: Уч. / О.И.Азова и др. - М.:НИЦ ИНФРА-М,2024 - 243 с.-(ВО)(п)</t>
  </si>
  <si>
    <t>ЛОГОПЕДИЧЕСКИЕ ТЕХНОЛОГИИ</t>
  </si>
  <si>
    <t>Азова О.И., Дьякова Е.А., Антипова Ж.В. и др.</t>
  </si>
  <si>
    <t>978-5-16-018755-6</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</si>
  <si>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44.03.03 «Специальное (дефектологическое) образование» (квалификация (степень) «бакалавр») (протокол № 9 от 28.09.2020)</t>
  </si>
  <si>
    <t>Московский психолого-социальный университет</t>
  </si>
  <si>
    <t>719889.04.01</t>
  </si>
  <si>
    <t>Логопедия. Дизорфография: Уч.пос. / О.И.Азова - М.:НИЦ ИНФРА-М,2023 - 180 с.-(СПО)(О)</t>
  </si>
  <si>
    <t>ЛОГОПЕДИЯ. ДИЗОРФОГРАФИЯ</t>
  </si>
  <si>
    <t>Азова О.И.</t>
  </si>
  <si>
    <t>978-5-16-015655-2</t>
  </si>
  <si>
    <t>44.02.05</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</si>
  <si>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специальности  44.02.05 «Коррекционная педагогика в начальном образовании» (протокол № 8 от 22.06.2020)</t>
  </si>
  <si>
    <t>458600.08.01</t>
  </si>
  <si>
    <t>Логопедия. Дизорфография: Уч.пос. / О.И.Азова - М.:НИЦ ИНФРА-М,2024 - 180 с.-(ВО)(о)</t>
  </si>
  <si>
    <t>978-5-16-018859-1</t>
  </si>
  <si>
    <t>44.03.01, 44.03.02, 44.03.03</t>
  </si>
  <si>
    <t>Рекомендовано в качестве учебного пособия для студентов высших учебных заведений, обучающихся по направлениям подготовки 44.03.03 «Специальное (дефектологическое) образование», 44.03.02 «Психолого-педагогическое образование», 44.03.01 «Педагогическое образование»(квалификация (степень) «бакалавр»)</t>
  </si>
  <si>
    <t>463900.09.01</t>
  </si>
  <si>
    <t>Логопедия: методика и технологии развития речи дошк.: Уч./Ж.В.Антипова-М:НИЦ ИНФРА-М,2024-313с(ВО)(п)</t>
  </si>
  <si>
    <t>ЛОГОПЕДИЯ: МЕТОДИКА И ТЕХНОЛОГИИ РАЗВИТИЯ РЕЧИ ДОШКОЛЬНИКОВ</t>
  </si>
  <si>
    <t>Антипова Ж.В., Давидович Л.Р., Дианова О.Н. и др.</t>
  </si>
  <si>
    <t>978-5-16-019305-2</t>
  </si>
  <si>
    <t>Рекомендовано в качестве учебника для студентов высших учебных заведений, обучающихся по направлениям подготовки 44.03.03 «Специальное (дефектологическое) образование», 44.03.02 «Психолого-педагогическое образование» (квалификация (степень) «бакалавр»)</t>
  </si>
  <si>
    <t>741139.01.01</t>
  </si>
  <si>
    <t>Магистранты российского университета: упр. соц. поведением и проф подготовкой: Моногр / С.Н.Макарова.-М.:НИЦ ИНФРА-М,2021-233с(П)</t>
  </si>
  <si>
    <t>МАГИСТРАНТЫ РОССИЙСКОГО УНИВЕРСИТЕТА: УПРАВЛЕНИЕ СОЦИАЛЬНЫМ ПОВЕДЕНИЕМ И ПРОФЕССИОНАЛЬНОЙ ПОДГОТОВКОЙ</t>
  </si>
  <si>
    <t>Макарова С.Н., Резник С.Д., Резник С.Д.</t>
  </si>
  <si>
    <t>978-5-16-016402-1</t>
  </si>
  <si>
    <t>38.04.02, 38.06.01</t>
  </si>
  <si>
    <t>726494.05.01</t>
  </si>
  <si>
    <t>Математика в нач. школе: методика обуч.: Уч. / А.В.Белошистая- М .:НИЦ ИНФРА-М,2024 - 316 с.(СПО)(П)</t>
  </si>
  <si>
    <t>МАТЕМАТИКА В НАЧАЛЬНОЙ ШКОЛЕ: МЕТОДИКА ОБУЧЕНИЯ</t>
  </si>
  <si>
    <t>Белошистая А.В.</t>
  </si>
  <si>
    <t>978-5-16-015926-3</t>
  </si>
  <si>
    <t>44.02.02, 44.02.05</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</si>
  <si>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специальности 44.02.02 «Преподавание в начальных классах» (протокол № 10 от 12.10.2020)</t>
  </si>
  <si>
    <t>773065.01.01</t>
  </si>
  <si>
    <t>Математика в профессиональном образовании...: Моногр. / В.М.Федосеев.-М.:НИЦ ИНФРА-М,2022.-173 с.(О)</t>
  </si>
  <si>
    <t>МАТЕМАТИКА В ПРОФЕССИОНАЛЬНОМ ОБРАЗОВАНИИ: ОСНОВЫ МЕТОДИКИ ОБУЧЕНИЯ ИНЖЕНЕРНОЙ МАТЕМАТИКЕ</t>
  </si>
  <si>
    <t>Федосеев В.М., Родионов М.А., Шабанов Г.И.</t>
  </si>
  <si>
    <t>978-5-16-017511-9</t>
  </si>
  <si>
    <t>Пензенский государственный технологический университет</t>
  </si>
  <si>
    <t>646535.04.01</t>
  </si>
  <si>
    <t>Математические методы в психологии (логопедии): Уч.пос. / А.И.Новиков-М.:НИЦ ИНФРА-М,2023-376с.(ВО)(П)</t>
  </si>
  <si>
    <t>МАТЕМАТИЧЕСКИЕ МЕТОДЫ В ПСИХОЛОГИИ (ЛОГОПЕДИИ)</t>
  </si>
  <si>
    <t>Новиков А.И., Новикова Н.В.</t>
  </si>
  <si>
    <t>978-5-16-018745-7</t>
  </si>
  <si>
    <t>37.03.01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</si>
  <si>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37.03.01 «Психология» (квалификация (степень) «бакалавр») (протокол № 17 от 11.11.2019)</t>
  </si>
  <si>
    <t>Российский университет кооперации</t>
  </si>
  <si>
    <t>282800.09.01</t>
  </si>
  <si>
    <t>Математические методы в психологии: Уч.пос. / А.И.Новиков - 2 изд. - М.:НИЦ ИНФРА-М,2023 - 288 с.(ВО)(п)</t>
  </si>
  <si>
    <t>МАТЕМАТИЧЕСКИЕ МЕТОДЫ В ПСИХОЛОГИИ, ИЗД.2</t>
  </si>
  <si>
    <t>978-5-16-011253-4</t>
  </si>
  <si>
    <t>Рекомендовано федеральным государственным бюджетным образовательным учреждением высшего профессионального образования «Санкт-Петербургский государственный университет» в качестве учебного пособия по дисциплине «Математические методы в психологии" для</t>
  </si>
  <si>
    <t>282800.03.01</t>
  </si>
  <si>
    <t>Математические методы в психологии: Уч.пос. / А.И.Новиков-М.:НИЦ ИНФРА-М,2018.-256с.(ВО:Бакалавриат)</t>
  </si>
  <si>
    <t>МАТЕМАТИЧЕСКИЕ МЕТОДЫ В ПСИХОЛОГИИ</t>
  </si>
  <si>
    <t>А.И.Новиков, Н.В.Новикова</t>
  </si>
  <si>
    <t>978-5-16-009891-3</t>
  </si>
  <si>
    <t>656472.09.01</t>
  </si>
  <si>
    <t>Менталитет, ментальность и этнопсихолог. особ. китайцев/В.В.Собольников-М.:Вуз. уч.,НИЦ ИНФРА-М,2024-160с.(О)</t>
  </si>
  <si>
    <t>МЕНТАЛИТЕТ, МЕНТАЛЬНОСТЬ И ЭТНОПСИХОЛОГИЧЕСКИЕ ОСОБЕННОСТИ КИТАЙЦЕВ</t>
  </si>
  <si>
    <t>Собольников В.В.</t>
  </si>
  <si>
    <t>Научная книга</t>
  </si>
  <si>
    <t>978-5-9558-0561-0</t>
  </si>
  <si>
    <t>37.03.01, 43.03.02, 43.03.03, 38.04.01, 38.04.02, 38.04.03, 38.03.01, 38.03.02, 38.03.03</t>
  </si>
  <si>
    <t>717632.02.01</t>
  </si>
  <si>
    <t>Методика гигиенич. обр. детей с интеллектуал. недостаточ.: Уч.пос. / Т.В.Карасева.-М.:НИЦ ИНФРА-М,2023.-298 с.(П)</t>
  </si>
  <si>
    <t>МЕТОДИКА ГИГИЕНИЧЕСКОГО ОБРАЗОВАНИЯ ДЕТЕЙ С ИНТЕЛЛЕКТУАЛЬНОЙ НЕДОСТАТОЧНОСТЬЮ</t>
  </si>
  <si>
    <t>Карасева Т.В., Толстова С.Ю., Воробьева С.Н.</t>
  </si>
  <si>
    <t>978-5-16-015593-7</t>
  </si>
  <si>
    <t>44.03.02, 44.03.03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</si>
  <si>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педагогическим и психологическим направлениям подготовки¶(квалификация (степень) «бакалавр») (протокол № 10 от 12.10.2020)</t>
  </si>
  <si>
    <t>Ивановский государственный университет</t>
  </si>
  <si>
    <t>342300.06.01</t>
  </si>
  <si>
    <t>Методика коррекции дизорфографии у шк.: Уч.мет.пос. /О.В.Елецкая-М.:Форум, НИЦ ИНФРА-М,2023-175с(ВО)</t>
  </si>
  <si>
    <t>МЕТОДИКА КОРРЕКЦИИ ДИЗОРФОГРАФИИ У ШКОЛЬНИКОВ</t>
  </si>
  <si>
    <t>Елецкая О.В.</t>
  </si>
  <si>
    <t>978-5-00091-632-2</t>
  </si>
  <si>
    <t>44.04.01, 44.04.03, 44.03.01, 44.03.05, 44.03.04, 44.03.02, 44.03.03</t>
  </si>
  <si>
    <t>Рекомендовано кафедрой логопедии ЛГУ им. А.С. Пушкина в качестве учебно-методического пособия для студентов высших учебных заведений, обучающихся по направлениям подготовки 44.03.03 «Специальное (дефектологическое) образование» (квалификация (степень) «бакалавр») по профилю подготовки «Логопедия» и 44.04.03 «Специальное (дефектологическое) образование» (квалификация (степень) «магистр»)</t>
  </si>
  <si>
    <t>075300.18.01</t>
  </si>
  <si>
    <t>Методика матем. развития: Уч.пос. / Н.И.Фрейлах-2 изд.-М.:ИД ФОРУМ,НИЦ ИНФРА-М,2023-240с.(СПО)(П)</t>
  </si>
  <si>
    <t>МЕТОДИКА МАТЕМАТИЧЕСКОГО РАЗВИТИЯ, ИЗД.2</t>
  </si>
  <si>
    <t>Фрейлах Н. И.</t>
  </si>
  <si>
    <t>978-5-8199-0741-2</t>
  </si>
  <si>
    <t>44.03.05, 44.03.04</t>
  </si>
  <si>
    <t>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t>
  </si>
  <si>
    <t>0214</t>
  </si>
  <si>
    <t>666517.06.01</t>
  </si>
  <si>
    <t>Методика обучения матем. в нач. шк.: Уч. / Н.Б.Истомина-Кастровская- 2 изд.-М.:НИЦ ИНФРА-М,2022.-301 с.(П)</t>
  </si>
  <si>
    <t>МЕТОДИКА ОБУЧЕНИЯ МАТЕМАТИКЕ В НАЧАЛЬНОЙ ШКОЛЕ, ИЗД.2</t>
  </si>
  <si>
    <t>Истомина-Кастровская Н.Б., Иванова И.Ю., Редько З.Б. и др.</t>
  </si>
  <si>
    <t>978-5-16-014058-2</t>
  </si>
  <si>
    <t>44.02.02, 44.03.01</t>
  </si>
  <si>
    <t>Рекомендовано Учебно-методическим советом ВО в качестве учебника для студентов высших учебных заведений, обучающихся по направлению  подготовки  44.03.01 «Педагогическое образование»  (квалификация (степень) «бакалавр»)</t>
  </si>
  <si>
    <t>666516.07.01</t>
  </si>
  <si>
    <t>Методика обучения математике в нач. шк.: Уч.пос. / Н.Б.Истомина-Кастровская, - 2-изд.-М.:НИЦ ИНФРА-М,2019-198с</t>
  </si>
  <si>
    <t>МЕТОДИКА ОБУЧЕНИЯ МАТЕМАТИКЕ В НАЧАЛЬНОЙ ШКОЛЕ: ПРАКТИКУМ, ИЗД.2</t>
  </si>
  <si>
    <t>Истомина-Кастровская Н.Б., Заяц Ю.С.</t>
  </si>
  <si>
    <t>978-5-16-014059-9</t>
  </si>
  <si>
    <t>Рекомендовано Учебно-методическим советом ВО в качестве учебного пособия для студентов высших учебных заведений, обучающихся по направлению подготовки 44.03.01 «Педагогическое образование» (квалификация (степень) «бакалавр»)</t>
  </si>
  <si>
    <t>Алтайский государственный педагогический университет</t>
  </si>
  <si>
    <t>671270.04.01</t>
  </si>
  <si>
    <t>Методика подготовки детей к изуч. рус. яз. в шк.: Уч.пос. / А.Г.Биба-М.:НИЦ ИНФРА-М,2021.-120 с.(ВО)(П)</t>
  </si>
  <si>
    <t>МЕТОДИКА ПОДГОТОВКИ ДЕТЕЙ К ИЗУЧЕНИЮ РУССКОГО ЯЗЫКА В ШКОЛЕ</t>
  </si>
  <si>
    <t>Биба А.Г.</t>
  </si>
  <si>
    <t>978-5-16-014582-2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</si>
  <si>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направлений 44.00.00 «Образование и педагогические науки» (квалификация (степень) «бакалавр») (протокол № 8 от 22.06.2020)</t>
  </si>
  <si>
    <t>641235.05.01</t>
  </si>
  <si>
    <t>Методика преподавания географии: Уч. / Под ред. Низовцев В.А.-М.:НИЦ ИНФРА-М,2022-320 с.(ВО)(П)</t>
  </si>
  <si>
    <t>МЕТОДИКА ПРЕПОДАВАНИЯ ГЕОГРАФИИ</t>
  </si>
  <si>
    <t>Дмитрук Н.Г., Низовцев В.А., Низовцев В.А.</t>
  </si>
  <si>
    <t>978-5-16-012320-2</t>
  </si>
  <si>
    <t>05.03.02, 44.04.01, 44.03.01, 44.03.05</t>
  </si>
  <si>
    <t>Рекомендовано в качестве учебника для студентов высших учебных заведений, обучающихся по направлениям подготовки 44.03.01 «Педагогическое образование», 44.03.05 «Педагогическое образование (с двумя профилями подготовки)», 05.03.02 «География» (квалификация (степень) «бакалавр»)</t>
  </si>
  <si>
    <t>Новгородский государственный университет им. Ярослава Мудрого</t>
  </si>
  <si>
    <t>418550.05.01</t>
  </si>
  <si>
    <t>Методика преподавания психологии в сред.уч.зав.: Уч.пос./Б.Р.Мандель-М:НИЦ ИНФРА-М,2024 - 256 с.(П)</t>
  </si>
  <si>
    <t>МЕТОДИКА ПРЕПОДАВАНИЯ ПСИХОЛОГИИ В СРЕДНИХ УЧЕБНЫХ ЗАВЕДЕНИЯХ</t>
  </si>
  <si>
    <t>978-5-16-018887-4</t>
  </si>
  <si>
    <t>44.02.03</t>
  </si>
  <si>
    <t>682977.04.01</t>
  </si>
  <si>
    <t>Методика физ. восп. и развития ребенка: Уч.пос. /Под ред.Козловой С.А.-2изд.-М:НИЦ ИНФРА-М,2022-312с</t>
  </si>
  <si>
    <t>МЕТОДИКА ФИЗИЧЕСКОГО ВОСПИТАНИЯ И РАЗВИТИЯ РЕБЕНКА, ИЗД.2</t>
  </si>
  <si>
    <t>Кожухова Н.Н., Рыжкова Л.А., Борисова М.М. и др.</t>
  </si>
  <si>
    <t>978-5-16-013969-2</t>
  </si>
  <si>
    <t>49.02.01, 44.02.01, 44.02.03, 44.02.04</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</si>
  <si>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специальностям 44.02.01 «Дошкольное образование», 44.02.03 «Педагогика дополнительного образования»</t>
  </si>
  <si>
    <t>441200.06.01</t>
  </si>
  <si>
    <t>Методика физического воспит. и развит.: Уч. / Под ред. Козловой С.А.-2 изд.-М.:НИЦ ИНФРА-М,2023-312с</t>
  </si>
  <si>
    <t>978-5-16-011377-7</t>
  </si>
  <si>
    <t>44.03.01, 44.03.05, 44.03.02</t>
  </si>
  <si>
    <t>682978.08.01</t>
  </si>
  <si>
    <t>Методическая работа в ДОУ: Уч. / Н.А.Виноградова - М.:НИЦ ИНФРА-М,2023 - 219 с.(П)</t>
  </si>
  <si>
    <t>МЕТОДИЧЕСКАЯ РАБОТА В ДОШКОЛЬНОМ ОБРАЗОВАТЕЛЬНОМ УЧРЕЖДЕНИИ</t>
  </si>
  <si>
    <t>Виноградова Н.А., Микляева Н.В.</t>
  </si>
  <si>
    <t>978-5-16-013970-8</t>
  </si>
  <si>
    <t>44.02.01, 44.02.03, 44.02.04, 44.03.01, 44.03.05, 44.03.02</t>
  </si>
  <si>
    <t>Рекомендовано Учебно-методическим советом СПО в качестве учебника для студентов учебных заведений, реализующих программу среднего профессионального образования по специальностям 44.02.01 «Дошкольное образование», 44.02.03 «Педагогика дополнительного образования», 44.02.04 «Специальное дошкольное образование»</t>
  </si>
  <si>
    <t>398500.07.01</t>
  </si>
  <si>
    <t>Методическая работа в дошк. образ. учреждении: Уч. / Н.А.Виноградова-М.:НИЦ ИНФРА-М,2023.-219 с.(ВО)(П)</t>
  </si>
  <si>
    <t>978-5-16-011271-8</t>
  </si>
  <si>
    <t>Рекомендовано в качестве учебника для студентов высших учебных заведений, обучающихся по направлениям подготовки 44.03.01 «Педагогическое образование», 44.03.02 «Психолого-педагогическое образование» (квалификация (степень) «бакалавр»)</t>
  </si>
  <si>
    <t>405400.08.01</t>
  </si>
  <si>
    <t>Методологические основы психологии: Уч. пос. / Т.И.Чиркова - М.:Вуз.уч.: НИЦ ИНФРА-М, 2022 - 416 с. (п)</t>
  </si>
  <si>
    <t>МЕТОДОЛОГИЧЕСКИЕ ОСНОВЫ ПСИХОЛОГИИ</t>
  </si>
  <si>
    <t>Чиркова Т. И.</t>
  </si>
  <si>
    <t>978-5-9558-0276-3</t>
  </si>
  <si>
    <t>Допущено УМО по классическому университетскому образованию в качестве учебного пособия для студентов высших учебных заведений, обучающихся по специальности  ГОС ВПО 030301 "Психология"</t>
  </si>
  <si>
    <t>177650.08.01</t>
  </si>
  <si>
    <t>Методологические основы этнич. и кросскульт. психологии: Уч. пос. / В.Ю.Хотинец - М.: Форум, 2024-88с. (о)</t>
  </si>
  <si>
    <t>МЕТОДОЛОГИЧЕСКИЕ ОСНОВЫ ЭТНИЧЕСКОЙ И КРОССКУЛЬТУРНОЙ ПСИХОЛОГИИ</t>
  </si>
  <si>
    <t>Хотинец В. Ю.</t>
  </si>
  <si>
    <t>978-5-91134-621-8</t>
  </si>
  <si>
    <t>46.04.03, 37.04.01, 51.04.01</t>
  </si>
  <si>
    <t>Удмуртский государственный университет</t>
  </si>
  <si>
    <t>634892.04.01</t>
  </si>
  <si>
    <t>Методология и методы психол.-педагог. исслед..:: Уч.пос. / М.А.Крылова-М.:ИЦ РИОР, НИЦ ИНФРА-М,2024-96с(ВО)(о)</t>
  </si>
  <si>
    <t>МЕТОДОЛОГИЯ И МЕТОДЫ ПСИХОЛОГО-ПЕДАГОГИЧЕСКОГО ИССЛЕДОВАНИЯ: ОСНОВЫ ТЕОРИИ И ПРАКТИКИ</t>
  </si>
  <si>
    <t>Крылова М.А.</t>
  </si>
  <si>
    <t>978-5-369-01648-0</t>
  </si>
  <si>
    <t>44.04.02, 44.04.03, 38.04.03, 44.03.02, 44.03.03</t>
  </si>
  <si>
    <t>Тверской государственный университет</t>
  </si>
  <si>
    <t>242000.05.01</t>
  </si>
  <si>
    <t>Методология и практ. науч.-педагог. деят.: Уч.пос. /В.Д.Колдаев -М.:ИД ФОРУМ, НИЦ ИНФРА-М,2022-400с</t>
  </si>
  <si>
    <t>МЕТОДОЛОГИЯ И ПРАКТИКА НАУЧНО-ПЕДАГОГИЧЕСКОЙ ДЕЯТЕЛЬНОСТИ</t>
  </si>
  <si>
    <t>Колдаев В.Д.</t>
  </si>
  <si>
    <t>978-5-8199-0814-3</t>
  </si>
  <si>
    <t>44.04.04</t>
  </si>
  <si>
    <t>Рекомендовано Научно-методическим советом Национального исследовательского университета «Московского института электронной техники» в качестве учебного пособия для аспирантов и магистров любых направлений подготовки и специальностей</t>
  </si>
  <si>
    <t>Московский институт электронной техники</t>
  </si>
  <si>
    <t>411150.08.01</t>
  </si>
  <si>
    <t>Методология качественных исслед. в психологии: Уч.пос. / Н.П.Бусыгина - М.:НИЦ ИНФРА-М,2024-304с.(ВО)(п)</t>
  </si>
  <si>
    <t>МЕТОДОЛОГИЯ КАЧЕСТВЕННЫХ ИССЛЕДОВАНИЙ В ПСИХОЛОГИИ</t>
  </si>
  <si>
    <t>Бусыгина Н.П.</t>
  </si>
  <si>
    <t>978-5-16-019158-4</t>
  </si>
  <si>
    <t>37.03.01, 37.04.01, 44.03.01</t>
  </si>
  <si>
    <t>Допущено УМО по классическому университетскому образованию в качестве учебного пособия для студентов высших учебных заведений, обучающихся по специальностям 37.05.02 «Психология», «Клиническая психология» и направлению подготовки 37.03.01 «Психология»</t>
  </si>
  <si>
    <t>657141.09.01</t>
  </si>
  <si>
    <t>Методология педагогики: Моногр. / Е.А.Александрова -М.:НИЦ ИНФРА-М,2024-296 с.(Науч.мысль)(о)</t>
  </si>
  <si>
    <t>МЕТОДОЛОГИЯ ПЕДАГОГИКИ</t>
  </si>
  <si>
    <t>Александрова Е.А., Асадуллин Р.М., Бережнова Е.В. и др.</t>
  </si>
  <si>
    <t>978-5-16-019358-8</t>
  </si>
  <si>
    <t>44.04.04, 44.03.01, 44.03.05, 44.03.03</t>
  </si>
  <si>
    <t>Саратовский государственный университет им. Н.Г. Чернышевского</t>
  </si>
  <si>
    <t>652775.05.01</t>
  </si>
  <si>
    <t>Методология проф. образования: Уч.пос. / А.Н.Ходусов-М.:НИЦ ИНФРА-М,2023.-351 с.(ВО: Магистр.)(П)</t>
  </si>
  <si>
    <t>МЕТОДОЛОГИЯ ПРОФЕССИОНАЛЬНОГО ОБРАЗОВАНИЯ</t>
  </si>
  <si>
    <t>Ходусов А.Н.</t>
  </si>
  <si>
    <t>978-5-16-014406-1</t>
  </si>
  <si>
    <t>44.04.01, 44.04.04</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</si>
  <si>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44.04.01 «Педагогическое образование» (квалификация (степень) «магистр») (протокол № 12 от 24.06.2019)</t>
  </si>
  <si>
    <t>Курский государственный университет</t>
  </si>
  <si>
    <t>417450.10.01</t>
  </si>
  <si>
    <t>Мониторинг качества образов. процесса в школе: Моногр. / С.Е.Шишов - М.: ИНФРА-М, 2023 - 205 с. (о)</t>
  </si>
  <si>
    <t>МОНИТОРИНГ КАЧЕСТВА ОБРАЗОВАТЕЛЬНОГО ПРОЦЕССА В ШКОЛЕ</t>
  </si>
  <si>
    <t>Шишов С. Е., Кальней В. А., Гирба Е. Ю.</t>
  </si>
  <si>
    <t>978-5-16-006507-6</t>
  </si>
  <si>
    <t>481300.07.01</t>
  </si>
  <si>
    <t>Мониторинг коррекц.-логопед.работы: Уч.мет.пос. / Под ред.Елецкой О.В.-М.:НИЦ ИНФРА-М,2023-400с(О)</t>
  </si>
  <si>
    <t>МОНИТОРИНГ КОРРЕКЦИОННО-ЛОГОПЕДИЧЕСКОЙ РАБОТЫ</t>
  </si>
  <si>
    <t>Елецкая О.В., Тараканова А.А., Щукина Д.А. и др.</t>
  </si>
  <si>
    <t>978-5-16-018842-3</t>
  </si>
  <si>
    <t>44.04.03, 44.03.02, 44.03.03</t>
  </si>
  <si>
    <t>Рекомендовано кафедрой логопедии Пермского государственного гуманитарно-педагогического университета в качестве учебно-методического пособия для студентов высших учебных заведений, обучающихся по направлению подготовки 44.03.03 «Специальное (дефектологическое) образование»</t>
  </si>
  <si>
    <t>367500.07.01</t>
  </si>
  <si>
    <t>Нарушения письменной речи у младших шк.: Уч.мет.пос./Е.А.Логинова-М.:Форум,НИЦ ИНФРА-М,2023-192с.(П)</t>
  </si>
  <si>
    <t>НАРУШЕНИЯ ПИСЬМЕННОЙ РЕЧИ У МЛАДШИХ ШКОЛЬНИКОВ</t>
  </si>
  <si>
    <t>Логинова Е.А., Елецкая О.В.</t>
  </si>
  <si>
    <t>978-5-00091-674-2</t>
  </si>
  <si>
    <t>37.03.01, 44.04.02, 44.04.03, 44.03.03</t>
  </si>
  <si>
    <t>Рекомендовано кафедрой логопедии Ленинградского государственного университета им. А.С. Пушкина в качестве учебно-методического пособия для студентов высших учебных заведений, обучающихся по направлениям 44.03.03 «Специальное (дефектологическое) образование» (квалификация (степень) «бакалавр») по профилю подготовки «Логопедия» и 44.04.03 «Специальное (дефектологическое) образование» (квалификация (степень) «магистр»)</t>
  </si>
  <si>
    <t>675070.04.01</t>
  </si>
  <si>
    <t>Научная деят. студентов: систем. анализ: Моногр./ В.В.Байлук - М.:НИЦ ИНФРА-М,2024-145с(Науч.мысль)(О)</t>
  </si>
  <si>
    <t>НАУЧНАЯ ДЕЯТЕЛЬНОСТЬ СТУДЕНТОВ: СИСТЕМНЫЙ АНАЛИЗ</t>
  </si>
  <si>
    <t>Байлук В.В.</t>
  </si>
  <si>
    <t>978-5-16-013656-1</t>
  </si>
  <si>
    <t>47.04.03, 22.04.02, 28.04.02, 38.03.01</t>
  </si>
  <si>
    <t>180500.09.01</t>
  </si>
  <si>
    <t>Научное руководство аспирантами: Практ. пос. / С.Д.Резник, - 3 изд.-М.:НИЦ ИНФРА-М,2023.-510 с.(п)</t>
  </si>
  <si>
    <t>НАУЧНОЕ РУКОВОДСТВО АСПИРАНТАМИ, ИЗД.3</t>
  </si>
  <si>
    <t>978-5-16-017908-7</t>
  </si>
  <si>
    <t>38.06.01, 39.06.01, 40.06.01, 41.06.01, 38.07.02, 39.07.01, 41.07.01</t>
  </si>
  <si>
    <t>Допущено Советом Учебно-методического объединения по образованию в области менеджмента в качестве практического пособия для системы дополнительного образования — повышения квалификации руководящих и научных кадров высших учебных заведений</t>
  </si>
  <si>
    <t>Январь, 2023</t>
  </si>
  <si>
    <t>0323</t>
  </si>
  <si>
    <t>752424.01.01</t>
  </si>
  <si>
    <t>Начала педагогики безопасности: Моногр. / С.П.Данченко - М.:НИЦ ИНФРА-М,2021 - 192 с.-(Науч.мысль)(О)</t>
  </si>
  <si>
    <t>НАЧАЛА ПЕДАГОГИКИ БЕЗОПАСНОСТИ</t>
  </si>
  <si>
    <t>Данченко С.П.</t>
  </si>
  <si>
    <t>978-5-16-016911-8</t>
  </si>
  <si>
    <t>44.04.02, 44.04.01, 44.04.04, 44.06.01, 44.03.01</t>
  </si>
  <si>
    <t>457798.0056.01</t>
  </si>
  <si>
    <t>Начальное образование, 2023, № 5</t>
  </si>
  <si>
    <t>НАЧАЛЬНОЕ ОБРАЗОВАНИЕ, 2023, № 5</t>
  </si>
  <si>
    <t>Журнал</t>
  </si>
  <si>
    <t>708168.02.01</t>
  </si>
  <si>
    <t>Образ жизни и проф. факторы риска здоровью педагога: Моногр. / Е.А.Багнетова, - 2 изд.-М.:НИЦ ИНФРА-М,2023.-100с(О)</t>
  </si>
  <si>
    <t>ОБРАЗ ЖИЗНИ И ПРОФЕССИОНАЛЬНЫЕ ФАКТОРЫ РИСКА ЗДОРОВЬЮ ПЕДАГОГА, ИЗД.2</t>
  </si>
  <si>
    <t>Багнетова Е.А.</t>
  </si>
  <si>
    <t>978-5-16-015359-9</t>
  </si>
  <si>
    <t>44.04.02, 44.04.01, 44.04.03, 44.04.04, 44.05.01, 44.06.01</t>
  </si>
  <si>
    <t>Сургутский государственный педагогический университет</t>
  </si>
  <si>
    <t>703564.04.01</t>
  </si>
  <si>
    <t>Образовательная програм. как инструмент сис. управ...: Моногр. / М.С.Логачев.-М.:НИЦ ИНФРА-М,2023-166с(О)</t>
  </si>
  <si>
    <t>ОБРАЗОВАТЕЛЬНАЯ ПРОГРАММА КАК ИНСТРУМЕНТ СИСТЕМЫ УПРАВЛЕНИЯ КАЧЕСТВОМ ПРОФЕССИОНАЛЬНОГО ОБРАЗОВАНИЯ</t>
  </si>
  <si>
    <t>Логачев М.С., Ткачева Г.В., Самарин Ю.Н.</t>
  </si>
  <si>
    <t>978-5-16-014934-9</t>
  </si>
  <si>
    <t>44.03.01</t>
  </si>
  <si>
    <t>Московский политехнический университет</t>
  </si>
  <si>
    <t>800886.01.01</t>
  </si>
  <si>
    <t>Обучение иностранным языкам и метод. творчество учителя: Моногр. / Н.В.Барышников-М.:НИЦ ИНФРА-М,2024.-187 с.(о)</t>
  </si>
  <si>
    <t>ОБУЧЕНИЕ ИНОСТРАННЫМ ЯЗЫКАМ И МЕТОДИЧЕСКОЕ ТВОРЧЕСТВО УЧИТЕЛЯ</t>
  </si>
  <si>
    <t>Барышников Н.В.</t>
  </si>
  <si>
    <t>978-5-16-018382-4</t>
  </si>
  <si>
    <t>44.04.02, 44.04.01, 44.04.04, 44.06.01</t>
  </si>
  <si>
    <t>Пятигорский государственный университет</t>
  </si>
  <si>
    <t>669255.05.01</t>
  </si>
  <si>
    <t>Обучение карате-до детей дош. возраста: Уч.практ.пос. / З.Б.Губжоков-М.:НИЦ ИНФРА-М,2023.-167 с.(П)</t>
  </si>
  <si>
    <t>ОБУЧЕНИЕ КАРАТЕ-ДО ДЕТЕЙ ДОШКОЛЬНОГО ВОЗРАСТА</t>
  </si>
  <si>
    <t>Губжоков З.Б., Борисова М.М.</t>
  </si>
  <si>
    <t>978-5-16-014303-3</t>
  </si>
  <si>
    <t>Учебно-практическое пособие</t>
  </si>
  <si>
    <t>49.04.03, 44.03.01, 49.03.01</t>
  </si>
  <si>
    <t>693010.04.01</t>
  </si>
  <si>
    <t>Обучение математике в дошк. обр. орг.: Уч.мет.пос. / А.В.Белошистая - 2 изд.-М.:НИЦ ИНФРА-М,2023-320с.(СПО)(П)</t>
  </si>
  <si>
    <t>ОБУЧЕНИЕ МАТЕМАТИКЕ В ДОШКОЛЬНЫХ ОБРАЗОВАТЕЛЬНЫХ ОРГАНИЗАЦИЯХ, ИЗД.2</t>
  </si>
  <si>
    <t>978-5-16-014433-7</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</si>
  <si>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специальности 44.02.01 «Дошкольное образование»</t>
  </si>
  <si>
    <t>448200.12.01</t>
  </si>
  <si>
    <t>Обучение математике...: Метод. пос. / А.В.Белошистая - 2 изд. - М.:НИЦ ИНФРА-М,2023 - 319 с.-(П)</t>
  </si>
  <si>
    <t>978-5-16-011419-4</t>
  </si>
  <si>
    <t>448300.04.01</t>
  </si>
  <si>
    <t>Обучение решению задач в нач.школе: Метод.пос. / А.В.Белошистая - 2изд.-М.:НИЦ ИНФРА-М,2017-281с.(п)</t>
  </si>
  <si>
    <t>ОБУЧЕНИЕ РЕШЕНИЮ ЗАДАЧ В НАЧАЛЬНОЙ ШКОЛЕ, ИЗД.2</t>
  </si>
  <si>
    <t>978-5-16-011420-0</t>
  </si>
  <si>
    <t>44.02.02, 44.03.01, 44.03.05</t>
  </si>
  <si>
    <t>682996.07.01</t>
  </si>
  <si>
    <t>Обучение решению задач в нач.школе: Уч.пос. / А.В.Белошистая - 2 изд.,испр.-М.:НИЦ ИНФРА-М,2024-281(СПО)</t>
  </si>
  <si>
    <t>978-5-16-013977-7</t>
  </si>
  <si>
    <t>44.00.00, 44.02.05</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</si>
  <si>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специальностям 44.02.01 «Дошкольное образование», 44.02.02 «Преподавание в начальных классах», 44.02.03 «Педагогика дополнительного образования»</t>
  </si>
  <si>
    <t>756090.01.01</t>
  </si>
  <si>
    <t>Обучение решению задач по матем. в 4 кл.: Уч.пос. / А.В.Белошистая - М.:НИЦ ИНФРА-М,2021 - 285 с.(ВО)(П)</t>
  </si>
  <si>
    <t>ОБУЧЕНИЕ РЕШЕНИЮ ЗАДАЧ ПО МАТЕМАТИКЕ В 4 КЛАССЕ</t>
  </si>
  <si>
    <t>978-5-16-017029-9</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</si>
  <si>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педагогическим направлениям подготовки (квалификация (степень) «бакалавр») (протокол № 1 от 20.01.2021)</t>
  </si>
  <si>
    <t>777499.01.01</t>
  </si>
  <si>
    <t>Обучение рус. яз. и развитие метапредметных умений...: Моногр. / А.Г.Биба-М.:НИЦ ИНФРА-М,2023.-160 с.(О)</t>
  </si>
  <si>
    <t>ОБУЧЕНИЕ РУССКОМУ ЯЗЫКУ И РАЗВИТИЕ МЕТАПРЕДМЕТНЫХ УМЕНИЙ УЧАЩИХСЯ В КЛАССАХ ИНКЛЮЗИВНОГО НАЧАЛЬНОГО ОБРАЗОВАНИЯ</t>
  </si>
  <si>
    <t>978-5-16-017740-3</t>
  </si>
  <si>
    <t>40.05.04, 44.04.03, 40.05.02, 44.06.01, 44.03.01, 44.03.05</t>
  </si>
  <si>
    <t>676294.05.01</t>
  </si>
  <si>
    <t>Обучение студ. с огранич. возмож. здоровья...: Метод. пос./Е.В.Михальчи-М.:НИЦ ИНФРА-М,2024-152с.(П)</t>
  </si>
  <si>
    <t>ОБУЧЕНИЕ СТУДЕНТОВ С ОГРАНИЧЕННЫМИ ВОЗМОЖНОСТЯМИ ЗДОРОВЬЯ И ИНВАЛИДНОСТЬЮ В СИСТЕМЕ ВЫСШЕГО ОБРАЗОВАНИЯ</t>
  </si>
  <si>
    <t>Михальчи Е.В.</t>
  </si>
  <si>
    <t>978-5-16-014746-8</t>
  </si>
  <si>
    <t>44.04.03, 44.03.05, 44.03.03, 00.00.00</t>
  </si>
  <si>
    <t>640301.06.01</t>
  </si>
  <si>
    <t>Общая  социальная педагогика. Основы теории: Уч.пос. / В.Л.Чекулаенко-М.:НИЦ ИНФРА-М,2024.-191 с.(ВО)(п)</t>
  </si>
  <si>
    <t>ОБЩАЯ  СОЦИАЛЬНАЯ ПЕДАГОГИКА. ОСНОВЫ ТЕОРИИ</t>
  </si>
  <si>
    <t>Чекулаенко В.Л.</t>
  </si>
  <si>
    <t>978-5-16-019266-6</t>
  </si>
  <si>
    <t>44.03.01, 44.03.02, 44.03.03, 39.03.02</t>
  </si>
  <si>
    <t>Южный федеральный университет</t>
  </si>
  <si>
    <t>798336.01.01</t>
  </si>
  <si>
    <t>Общая  социальная педагогика. Основы теории: Уч.пос. / В.Л.Чекулаенко-М:НИЦ ИНФРА-М,2023-191с(СПО)(П)</t>
  </si>
  <si>
    <t>978-5-16-018315-2</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</si>
  <si>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педагогическим специальностям (протокол № 9 от 17.11.2022)</t>
  </si>
  <si>
    <t>431860.11.01</t>
  </si>
  <si>
    <t>Общая и профессиональная педагогика: Уч. / Г.Н.Жуков - 2 изд. - М.:НИЦ ИНФРА-М,2024-425 с.-(СПО)(П)</t>
  </si>
  <si>
    <t>ОБЩАЯ И ПРОФЕССИОНАЛЬНАЯ ПЕДАГОГИКА, ИЗД.2</t>
  </si>
  <si>
    <t>Жуков Г. Н., Матросов П. Г.</t>
  </si>
  <si>
    <t>978-5-16-012546-6</t>
  </si>
  <si>
    <t>44.02.06</t>
  </si>
  <si>
    <t>Рекомендовано в качестве учебника для учебных заведений, реализующих программу среднего профессионального образования по специальности 44.02.06 «Профессиональное обучение (по отраслям)»</t>
  </si>
  <si>
    <t>021521.15.01</t>
  </si>
  <si>
    <t>Общая и социальная психология: Уч. / М.И. Еникеев. - 2 изд. - М.: Норма:  НИЦ ИНФРА-М, 2023 - 640 с. (п)</t>
  </si>
  <si>
    <t>ОБЩАЯ И СОЦИАЛЬНАЯ ПСИХОЛОГИЯ, ИЗД.2</t>
  </si>
  <si>
    <t>Еникеев М. И.</t>
  </si>
  <si>
    <t>Юр. НОРМА</t>
  </si>
  <si>
    <t>978-5-91768-086-6</t>
  </si>
  <si>
    <t>40.03.01, 40.05.01, 40.05.02, 40.05.03, 39.03.01, 39.03.02, 39.03.03, 11.02.15</t>
  </si>
  <si>
    <t>Допущено Министерством образования и науки РФ в качестве учебника для студентов высших учебных заведений, обучающихся по специальности "Юриспруденция"</t>
  </si>
  <si>
    <t>Московский государственный юридический университет им. О.Е. Кутафина</t>
  </si>
  <si>
    <t>0210</t>
  </si>
  <si>
    <t>429500.14.01</t>
  </si>
  <si>
    <t>Общая психокоррекция: Уч.пос. / Б.Р.Мандель - М.:Вуз.уч.,НИЦ ИНФРА-М,2024 - 349 с.(П)</t>
  </si>
  <si>
    <t>ОБЩАЯ ПСИХОКОРРЕКЦИЯ</t>
  </si>
  <si>
    <t>978-5-9558-0290-9</t>
  </si>
  <si>
    <t>37.03.01, 32.04.01, 37.05.01, 31.05.01, 31.05.02, 31.08.20, 31.08.22, 37.03.02, 44.03.01, 34.03.01, 44.03.02</t>
  </si>
  <si>
    <t>374700.03.01</t>
  </si>
  <si>
    <t>Общая психология в схемах и коммент.: Уч.пос. / В.Г.Крысько - 7 изд.-М.:Вуз.уч,НИЦ ИНФРА-М,2019-196с</t>
  </si>
  <si>
    <t>ОБЩАЯ ПСИХОЛОГИЯ В СХЕМАХ И КОММЕНТАРИЯХ, ИЗД.7</t>
  </si>
  <si>
    <t>Крысько В.Г.</t>
  </si>
  <si>
    <t>978-5-9558-0446-0</t>
  </si>
  <si>
    <t>00.05.15, 00.03.15, 37.03.01, 37.05.02, 37.05.01, 37.03.02</t>
  </si>
  <si>
    <t>0716</t>
  </si>
  <si>
    <t>374700.08.01</t>
  </si>
  <si>
    <t>Общая психология в схемах и коммент.: Уч.пос. / В.Г.Крысько - 8 изд. - М.:НИЦ ИНФРА-М,2023-196с(ВО)(П)</t>
  </si>
  <si>
    <t>ОБЩАЯ ПСИХОЛОГИЯ В СХЕМАХ И КОММЕНТАРИЯХ, ИЗД.8</t>
  </si>
  <si>
    <t>978-5-16-014723-9</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</si>
  <si>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высшего образования (протокол № 2 от 28.01.2019)</t>
  </si>
  <si>
    <t>0819</t>
  </si>
  <si>
    <t>711274.04.01</t>
  </si>
  <si>
    <t>Общая психология в схемах и комментариях: Уч.пос. / В.Г.Крысько, - 8 изд.,-М.:НИЦ ИНФРА-М,2023.-196 с.(СПО)(П)</t>
  </si>
  <si>
    <t>978-5-16-015329-2</t>
  </si>
  <si>
    <t>39.02.01, 49.02.01, 49.02.02, 44.02.01, 44.02.02, 44.02.03, 44.02.04, 44.02.05, 44.02.06, 31.02.01, 31.02.02, 32.02.01, 33.02.01, 34.02.01, 34.02.02</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</si>
  <si>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гуманитарным специальностям (протокол № 5 от 11.03.2019)</t>
  </si>
  <si>
    <t>657342.03.01</t>
  </si>
  <si>
    <t>Общая психология. Практикум:Уч.пос. / Е.Е.Сапогова, - 2 изд.-М.:НИЦ ИНФРА-М,2023.-625 с..-(ВО)(П)</t>
  </si>
  <si>
    <t>ОБЩАЯ ПСИХОЛОГИЯ. ПРАКТИКУМ, ИЗД.2</t>
  </si>
  <si>
    <t>978-5-16-018642-9</t>
  </si>
  <si>
    <t>37.03.01, 37.05.02, 37.05.01, 44.05.01, 44.03.01, 44.03.05, 44.03.04, 44.03.02, 44.03.03</t>
  </si>
  <si>
    <t>Допущено Министерством образования Российской Федерации в качестве учебного пособия для студентов высших учебных заведений, обучающихся по направлению и специальностям «Психология»</t>
  </si>
  <si>
    <t>665055.06.01</t>
  </si>
  <si>
    <t>Общая психология: Уч.пос. / Г.С.Абрамова - 2 изд., стереотип. - М.:НИЦ ИНФРА-М,2018 - 496 с.(ВО)(П)</t>
  </si>
  <si>
    <t>ОБЩАЯ ПСИХОЛОГИЯ, ИЗД.2</t>
  </si>
  <si>
    <t>Абрамова Г.С.</t>
  </si>
  <si>
    <t>978-5-16-013592-2</t>
  </si>
  <si>
    <t>37.03.01, 37.04.01, 37.05.01, 44.03.05, 44.03.04</t>
  </si>
  <si>
    <t>Рекомендовано в качестве учебного пособия для студентов высших учебных заведений, обучающихся по направлениям подготовки 37.03.01 «Психология», 37.03.02 «Конфликтология», 44.03.02 «Психолого-педагогическое образование» (квалификация (степень) «бакалавр»)</t>
  </si>
  <si>
    <t>667642.04.01</t>
  </si>
  <si>
    <t>Общая теория воспитания: Уч.пос. / С.Ю.Темина - М.:НИЦ ИНФРА-М,2023 - 210 с.(ВО)(П)</t>
  </si>
  <si>
    <t>ОБЩАЯ ТЕОРИЯ ВОСПИТАНИЯ</t>
  </si>
  <si>
    <t>Темина С.Ю.</t>
  </si>
  <si>
    <t>978-5-16-013457-4</t>
  </si>
  <si>
    <t>Рекомендовано Учебно-методическим советом ВО в качестве учебного пособия  для студентов высших учебных заведений, обучающихся по направлениям подготовки 44.03.01 «Педагогическое образование», 44.03.02 «Психолого-педагогическое образование», 44.03.03 «Специальное (дефектологическое) образование» (квалификация (степень) «бакалавр»)</t>
  </si>
  <si>
    <t>356500.09.01</t>
  </si>
  <si>
    <t>Общее недоразвитие речи. Алалия: Уч.мет.пос. / Е.А.Логинова - М.:Форум, НИЦ ИНФРА-М,2023-64 с.(ВО)(О)</t>
  </si>
  <si>
    <t>ОБЩЕЕ НЕДОРАЗВИТИЕ РЕЧИ. АЛАЛИЯ</t>
  </si>
  <si>
    <t>978-5-00091-777-0</t>
  </si>
  <si>
    <t>Рекомендовано кафедрой логопедии ЛГУ им. А.С. Пушкина в качестве учебно-методического пособия для студентов высших учебных заведений, обучающихся по направлениям 44.03.03 «Специальное (дефектологическое) образование» (квалификация (степень) «бакалавр») по профилю подготовки «Логопедия» и 44.04.03 «Специальное (дефектологическое) образование» (квалификация (степень) «магистр»)</t>
  </si>
  <si>
    <t>704211.03.01</t>
  </si>
  <si>
    <t>Общее недоразвитие речи. Алалия: Уч.мет.пос. / Е.А.Логинова-М.:Форум, НИЦ ИНФРА-М,2023.-64 с.(СПО)(О)</t>
  </si>
  <si>
    <t>978-5-00091-667-4</t>
  </si>
  <si>
    <t>44.02.01, 44.02.02, 44.02.03, 44.02.04, 44.02.05</t>
  </si>
  <si>
    <t>734781.01.01</t>
  </si>
  <si>
    <t>Общеметодические аспекты обуч. в спец. обр. учр.: Уч.мет.пос. / М.В.Матвеева-М.:Форум, НИЦ ИНФРА-М,2020-176 с.(СПО)(П)</t>
  </si>
  <si>
    <t>ОБЩЕМЕТОДИЧЕСКИЕ АСПЕКТЫ ОБУЧЕНИЯ В СПЕЦИАЛЬНЫХ ОБРАЗОВАТЕЛЬНЫХ УЧРЕЖДЕНИЯХ</t>
  </si>
  <si>
    <t>Матвеева М.В., Коршунова Т.В.</t>
  </si>
  <si>
    <t>978-5-00091-730-5</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</si>
  <si>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специальности 44.02.05 «Коррекционная педагогика в начальном образовании» (протокол № 17 от 11.11.2019)</t>
  </si>
  <si>
    <t>42</t>
  </si>
  <si>
    <t>438400.05.01</t>
  </si>
  <si>
    <t>Общеметодические аспекты обуч.в спец. обр.учр.: Уч.-мет. пос./М.В.Матвеева-М.:НИЦ ИНФРА-М,2024.-176с</t>
  </si>
  <si>
    <t>978-5-16-017948-3</t>
  </si>
  <si>
    <t>44.04.03, 44.03.01, 44.03.03</t>
  </si>
  <si>
    <t>Рекомендовано кафедрой логопедии ЛГУ имени А.С. Пушкина в качестве учебно-методического пособия для студентов высших учебных заведений, обучающихся по направлениям подготовки 44.03.03 «Специальное (дефектологическое) образование» (бакалавриат), по профилю подготовки «Логопедия» и 44.04.03 «Специальное (дефектологическое) образование» (магистратура)</t>
  </si>
  <si>
    <t>398800.06.01</t>
  </si>
  <si>
    <t>Общение с природой начинается с детства: Моногр./ С.Н.Николаева, - 2 изд.-М.:НИЦ ИНФРА-М,2023.-216 с.(Науч.мысль)(О)</t>
  </si>
  <si>
    <t>ОБЩЕНИЕ С ПРИРОДОЙ НАЧИНАЕТСЯ С ДЕТСТВА, ИЗД.2</t>
  </si>
  <si>
    <t>Николаева С.Н.</t>
  </si>
  <si>
    <t>978-5-16-011274-9</t>
  </si>
  <si>
    <t>44.04.02, 44.04.01, 44.04.03, 44.04.04, 44.05.01, 44.03.05, 44.03.04, 44.03.02, 44.03.03</t>
  </si>
  <si>
    <t>327000.07.01</t>
  </si>
  <si>
    <t>Оздоровительные тех. физ. воспит. и развития ребенка: Уч. / Т.А.Семенова-М.:НИЦ ИНФРА-М,2023-448с(П)</t>
  </si>
  <si>
    <t>ОЗДОРОВИТЕЛЬНЫЕ ТЕХНОЛОГИИ ФИЗИЧЕСКОГО ВОСПИТАНИЯ И РАЗВИТИЯ РЕБЕНКА ДОШКОЛЬНОГО ВОЗРАСТА В ОБРАЗОВАТЕЛЬНЫХ ОРГАНИЗАЦИЯХ</t>
  </si>
  <si>
    <t>Семенова Т.А.</t>
  </si>
  <si>
    <t>978-5-16-011849-9</t>
  </si>
  <si>
    <t>682999.08.01</t>
  </si>
  <si>
    <t>Оздоровительные технологии физ.восп.и разв.ребенка дошк...: Уч. / Т.А.Семенова-М.:ИНФРА-М,2024-448(СПО)(П)</t>
  </si>
  <si>
    <t>978-5-16-013979-1</t>
  </si>
  <si>
    <t>49.02.01, 44.02.01, 44.02.03, 44.02.04, 44.03.01</t>
  </si>
  <si>
    <t>Рекомендовано Учебно-методическим советом СПО в качестве учебника для студентов учебных заведений, реализующих программу среднего профессионального образования по специальностям 44.02.01 «Дошкольное образование», 44.02.03 «Педагогика дополнительного образования»</t>
  </si>
  <si>
    <t>236200.07.01</t>
  </si>
  <si>
    <t>Оптимизация личностных преимуществ: психолог. возмож.: Практ./В.В.Авдеев - КУРС:ИНФРА-М, 2022-208с. (о)</t>
  </si>
  <si>
    <t>ОПТИМИЗАЦИЯ ЛИЧНОСТНЫХ ПРЕИМУЩЕСТВ: ПСИХОЛОГИЧЕСКИЕ ВОЗМОЖНОСТИ</t>
  </si>
  <si>
    <t>Авдеев В. В.</t>
  </si>
  <si>
    <t>КУРС</t>
  </si>
  <si>
    <t>Практикум</t>
  </si>
  <si>
    <t>978-5-905554-39-1</t>
  </si>
  <si>
    <t>37.03.01, 38.03.01, 38.03.02, 38.03.04, 38.03.03, 39.03.01, 39.03.02</t>
  </si>
  <si>
    <t>Всероссийская академия внешней торговли Министерства экономического развития Российской Федерации</t>
  </si>
  <si>
    <t>104550.10.01</t>
  </si>
  <si>
    <t>Организационная конфликтология: Уч. пос. / К.В. Решетникова - М.:ИНФРА-М, 2022 - 175 с. (ВО) (п)</t>
  </si>
  <si>
    <t>ОРГАНИЗАЦИОННАЯ КОНФЛИКТОЛОГИЯ</t>
  </si>
  <si>
    <t>Решетникова К. В.</t>
  </si>
  <si>
    <t>ИНФРА-М Издательский Дом</t>
  </si>
  <si>
    <t>978-5-16-003512-3</t>
  </si>
  <si>
    <t>38.03.02, 38.03.04, 38.03.03, 39.03.01, 37.03.02</t>
  </si>
  <si>
    <t>Рекомендовано Учебно-методическим объединением вузов России по образованию в области экономики, менеджмента, логистики и бизнес-информатики в качестве учебного пособия для студ. вузов, обуч. по напр. подготовки 080500  "Менеджмент"</t>
  </si>
  <si>
    <t>231700.11.01</t>
  </si>
  <si>
    <t>Организационная психология: Уч. / А.Б.Леонова - М.:НИЦ ИНФРА-М,2023 - 429 с.(ВО: Бакалавр.)(П)</t>
  </si>
  <si>
    <t>ОРГАНИЗАЦИОННАЯ ПСИХОЛОГИЯ</t>
  </si>
  <si>
    <t>Леонова А.Б., Базаров Т.Ю., Абдуллаева М.М. и др.</t>
  </si>
  <si>
    <t>978-5-16-006052-1</t>
  </si>
  <si>
    <t>Допущено УМО  по классическому университетскому образованию в качестве учебника для студентов высших учебных заведений, обучающихся по направлению подготовки 37.03.01 «Психология» (квалификация (степень) «бакалавр»)</t>
  </si>
  <si>
    <t>795907.03.01</t>
  </si>
  <si>
    <t>Организационно-методологич. основы подготовки...: Уч.мет.пос. / С.В.Иванова-М.:НИЦ ИНФРА-М,2023.-92 с.(ВО)(о)</t>
  </si>
  <si>
    <t>ОРГАНИЗАЦИОННО-МЕТОДОЛОГИЧЕСКИЕ ОСНОВЫ ПОДГОТОВКИ ДИССЕРТАЦИИ</t>
  </si>
  <si>
    <t>Иванова С.В.</t>
  </si>
  <si>
    <t>978-5-16-018163-9</t>
  </si>
  <si>
    <t>00.06.01</t>
  </si>
  <si>
    <t>776706.01.01</t>
  </si>
  <si>
    <t>Организация воспитательной работы в совр. вузе.../ Под ред. Ивановой В.А.-М.:НИЦ ИНФРА-М,2023.-195 с.(п)</t>
  </si>
  <si>
    <t>ОРГАНИЗАЦИЯ ВОСПИТАТЕЛЬНОЙ РАБОТЫ В СОВРЕМЕННОМ ВУЗЕ: ТРАДИЦИИ И НОВАЦИИ</t>
  </si>
  <si>
    <t>Иванова В.А., Алябьева Е.В., Богданова М.М. и др.</t>
  </si>
  <si>
    <t>978-5-16-017855-4</t>
  </si>
  <si>
    <t>44.04.02, 44.04.01, 51.04.03, 44.06.01</t>
  </si>
  <si>
    <t>Финансовый университет при Правительстве Российской Федерации, Алтайский ф-л</t>
  </si>
  <si>
    <t>078550.11.01</t>
  </si>
  <si>
    <t>Организация и методика проф. обуч.: Уч.пос. / В.А.Скакун - 2 изд.-М.:Форум, НИЦ ИНФРА-М,2023.-336 с.(СПО)(П)</t>
  </si>
  <si>
    <t>ОРГАНИЗАЦИЯ И МЕТОДИКА ПРОФЕССИОНАЛЬНОГО ОБУЧЕНИЯ, ИЗД.2</t>
  </si>
  <si>
    <t>Скакун В. А.</t>
  </si>
  <si>
    <t>978-5-91134-707-9</t>
  </si>
  <si>
    <t>44.02.03, 44.02.06</t>
  </si>
  <si>
    <t>703745.06.01</t>
  </si>
  <si>
    <t>Организация и содержание работы шк.логопеда: Уч.мет.пос. / О.В.Елецкая-М.:Форум, НИЦ ИНФРА-М,2024-192с.(П)</t>
  </si>
  <si>
    <t>ОРГАНИЗАЦИЯ И СОДЕРЖАНИЕ РАБОТЫ ШКОЛЬНОГО ЛОГОПЕДА</t>
  </si>
  <si>
    <t>Елецкая О.В., Коробченко Т.В., Розова Ю.Е. и др.</t>
  </si>
  <si>
    <t>978-5-00091-664-3</t>
  </si>
  <si>
    <t>44.00.00, 44.02.03, 44.02.05</t>
  </si>
  <si>
    <t>350100.08.01</t>
  </si>
  <si>
    <t>Организация и содержание работы шк.логопеда: Уч.-метод.пос./О.В.Елецкая -М.:Форум,НИЦ ИНФРА-М,2024-192с</t>
  </si>
  <si>
    <t>978-5-00091-691-9</t>
  </si>
  <si>
    <t>Рекомендовано кафедрой логопедии ЛГУ им. А.С. Пушкина в качестве учебно-методического пособия для студентов высших учебных заведений, обучающихся по направлениям 44.03.03 «Специальное (дефектологическое) образование» (бакалавриат) по профилю подготовки «Логопедия» и 44.04.03 «Специальное (дефектологическое) образование» (магистратура)</t>
  </si>
  <si>
    <t>657350.03.01</t>
  </si>
  <si>
    <t>Организация исслед. деят. в процессе обуч. естеств. дисципл...: Моногр. / П.Ю.Романов.-М.:НИЦ ИНФРА.2024-260с(о)</t>
  </si>
  <si>
    <t>ОРГАНИЗАЦИЯ ИССЛЕДОВАТЕЛЬСКОЙ ДЕЯТЕЛЬНОСТИ В ПРОЦЕССЕ ОБУЧЕНИЯ ЕСТЕСТВЕННОНАУЧНЫМ ДИСЦИПЛИНАМ В ШКОЛЕ И ВУЗЕ</t>
  </si>
  <si>
    <t>Романов П.Ю., Злыднева Т.П., Романова Т.Е. и др.</t>
  </si>
  <si>
    <t>978-5-16-019187-4</t>
  </si>
  <si>
    <t>44.04.01, 44.04.04, 44.03.01, 44.03.04</t>
  </si>
  <si>
    <t>757825.04.01</t>
  </si>
  <si>
    <t>Организация надомного обуч. дош. с тяжелыми...  / С.Б.Лазуренко-М.:НИЦ ИНФРА-М,2024 -71 с.(О)</t>
  </si>
  <si>
    <t>ОРГАНИЗАЦИЯ НАДОМНОГО ОБУЧЕНИЯ ДОШКОЛЬНИКОВ С ТЯЖЕЛЫМИ МНОЖЕСТВЕННЫМИ НАРУШЕНИЯМИ РАЗВИТИЯ (ТМНР)</t>
  </si>
  <si>
    <t>Лазуренко С.Б., Павлова Н.Н.</t>
  </si>
  <si>
    <t>978-5-16-016922-4</t>
  </si>
  <si>
    <t>726999.03.01</t>
  </si>
  <si>
    <t>Организация обр. деят. в ДОО. Примерное план. Ст.группа (5-6 л.): Уч.мет.пос. / Л.Л.Тимофеева.-М.:НИЦ ИНФРА-М,2024-298с(П)</t>
  </si>
  <si>
    <t>ОРГАНИЗАЦИЯ ОБРАЗОВАТЕЛЬНОЙ ДЕЯТЕЛЬНОСТИ В ДОО. ПРИМЕРНОЕ ПЛАНИРОВАНИЕ. СТАРШАЯ ГРУППА (5-6 ЛЕТ)</t>
  </si>
  <si>
    <t>Тимофеева Л.Л., Корнеичева Е.Е., Грачева Н.И. и др.</t>
  </si>
  <si>
    <t>978-5-16-015962-1</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</si>
  <si>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специальности 44.02.01 «Дошкольное образование» (протокол №4 от 02.03.2020)</t>
  </si>
  <si>
    <t>Институт развития образования, Орловская область</t>
  </si>
  <si>
    <t>727008.03.01</t>
  </si>
  <si>
    <t>Организация образ. деят. в ДОО. Прим. планир...: Уч.мет.пос. / Л.Л.Тимофеева и др.-М.:НИЦ ИНФРА-М,2024-322с(П)</t>
  </si>
  <si>
    <t>ОРГАНИЗАЦИЯ ОБРАЗОВАТЕЛЬНОЙ ДЕЯТЕЛЬНОСТИ В ДОО. ПРИМЕРНОЕ ПЛАНИРОВАНИЕ. СРЕДНЯЯ ГРУППА (4-5 ЛЕТ)</t>
  </si>
  <si>
    <t>978-5-16-014063-6</t>
  </si>
  <si>
    <t>727022.03.01</t>
  </si>
  <si>
    <t>Организация образ. деят. в ДОО...: Уч.мет.пос. / Л.Л.Тимофеева и др.-М.:НИЦ ИНФРА-М,2023-323с(П)</t>
  </si>
  <si>
    <t>ОРГАНИЗАЦИЯ ОБРАЗОВАТЕЛЬНОЙ ДЕЯТЕЛЬНОСТИ В ДОО. ПРИМЕРНОЕ ПЛАНИРОВАНИЕ. ВТОРАЯ МЛАДШАЯ ГРУППА (3-4 ГОДА)</t>
  </si>
  <si>
    <t>978-5-16-015960-7</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</si>
  <si>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специальности 44.02.01 «Дошкольное образование» (протокол № 4 от 02.03.2020)</t>
  </si>
  <si>
    <t>727013.03.01</t>
  </si>
  <si>
    <t>Организация образоват. деят. в ДОО..: Уч.метод.пос. / Л.Л.Тимофеева - М.:ИНФРА-М,2023 - 337 с.(П)</t>
  </si>
  <si>
    <t>ОРГАНИЗАЦИЯ ОБРАЗОВАТЕЛЬНОЙ ДЕЯТЕЛЬНОСТИ В ДОО. ПРИМЕРНОЕ ПЛАНИРОВАНИЕ. ПОДГОТОВИТЕЛЬНАЯ К ШКОЛЕ ГРУППА (6-7 ЛЕТ)</t>
  </si>
  <si>
    <t>978-5-16-015961-4</t>
  </si>
  <si>
    <t>674626.03.01</t>
  </si>
  <si>
    <t>Организация образовательной деят. в ДОО...: Уч.мет.пос. / Л.Л.Тимофеева - М.:НИЦ ИНФРА-М.2023-288c(П)</t>
  </si>
  <si>
    <t>ОРГАНИЗАЦИЯ ОБРАЗОВАТЕЛЬНОЙ ДЕЯТЕЛЬНОСТИ В ДОО. ПРИМЕРНОЕ ПЛАНИРОВАНИЕ. ПЕРВАЯ МЛАДШАЯ ГРУППА (2-3 ГОДА)</t>
  </si>
  <si>
    <t>978-5-16-016102-0</t>
  </si>
  <si>
    <t>44.00.00, 44.02.01</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</si>
  <si>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специальности  44.02.01 «Дошкольное образование» (протокол  №  8 от 22.06.2020)</t>
  </si>
  <si>
    <t>673759.01.01</t>
  </si>
  <si>
    <t>Организация обуч. на основе сис.-деят. подхода при получ. сред...: Уч.мет.пос. / С.В.Новикова-М.:НИЦ ИНФРА-М,2022-165с(П)</t>
  </si>
  <si>
    <t>ОРГАНИЗАЦИЯ ОБУЧЕНИЯ НА ОСНОВЕ СИСТЕМНО-ДЕЯТЕЛЬНОСТНОГО ПОДХОДА ПРИ ПОЛУЧЕНИИ СРЕДНЕГО ОБЩЕГО ОБРАЗОВАНИЯ</t>
  </si>
  <si>
    <t>Новикова С.В., Красношлыкова О.Г.,</t>
  </si>
  <si>
    <t>978-5-16-016950-7</t>
  </si>
  <si>
    <t>44.04.01</t>
  </si>
  <si>
    <t>КРИПКиПРО</t>
  </si>
  <si>
    <t>786995.01.01</t>
  </si>
  <si>
    <t>Организация профильного обуч. шк. по индивидуал. учеб. планам / Н.И.Постникова-М.:НИЦ ИНФРА-М,2023.-167 с(О)</t>
  </si>
  <si>
    <t>ОРГАНИЗАЦИЯ ПРОФИЛЬНОГО ОБУЧЕНИЯ ШКОЛЬНИКОВ ПО ИНДИВИДУАЛЬНЫМ УЧЕБНЫМ ПЛАНАМ</t>
  </si>
  <si>
    <t>Постникова Н.И.</t>
  </si>
  <si>
    <t>978-5-16-017917-9</t>
  </si>
  <si>
    <t>44.04.01, 44.04.04, 44.06.01</t>
  </si>
  <si>
    <t>Декабрь, 2022</t>
  </si>
  <si>
    <t>665685.04.01</t>
  </si>
  <si>
    <t>Организация уч. проц. с использованием дистанц. образ. техн.: Уч.пос. / Е.В.Карманова-М.:НИЦ ИНФРА-М,2023.-109с(О)</t>
  </si>
  <si>
    <t>ОРГАНИЗАЦИЯ УЧЕБНОГО ПРОЦЕССА С ИСПОЛЬЗОВАНИЕМ ДИСТАНЦИОННЫХ ОБРАЗОВАТЕЛЬНЫХ ТЕХНОЛОГИЙ</t>
  </si>
  <si>
    <t>Карманова Е.В.</t>
  </si>
  <si>
    <t>978-5-16-014057-5</t>
  </si>
  <si>
    <t>44.00.00, 44.04.01, 44.03.01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</si>
  <si>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бакалавриата (протокол № 3 от 11.02.2019)</t>
  </si>
  <si>
    <t>079440.10.01</t>
  </si>
  <si>
    <t>Основы конфликтологии: Уч. / Г.И.Козырев, - 2 изд.-М.:ИД Форум, НИЦ ИНФРА-М,2024.-240 с..-(СПО)(П)</t>
  </si>
  <si>
    <t>ОСНОВЫ КОНФЛИКТОЛОГИИ, ИЗД.2</t>
  </si>
  <si>
    <t>Козырев Г. И.</t>
  </si>
  <si>
    <t>978-5-8199-0925-6</t>
  </si>
  <si>
    <t>38.03.01, 38.03.03, 44.03.05, 41.03.06</t>
  </si>
  <si>
    <t>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t>
  </si>
  <si>
    <t>488600.09.01</t>
  </si>
  <si>
    <t>Основы методик  дошк.  обр.: Уч.пос. / О.Н.Анцыпирович - М.:НИЦ ИНФРА-М,2023 - 390 с.-(ВО)(п)</t>
  </si>
  <si>
    <t>ОСНОВЫ МЕТОДИК  ДОШКОЛЬНОГО  ОБРАЗОВАНИЯ</t>
  </si>
  <si>
    <t>Анцыпирович О.Н., Горбатова Е.В., Дубинина Д.Н. и др.</t>
  </si>
  <si>
    <t>978-5-16-018949-9</t>
  </si>
  <si>
    <t>44.03.01, 44.03.05, 44.03.04, 44.03.02</t>
  </si>
  <si>
    <t>079150.17.01</t>
  </si>
  <si>
    <t>Основы общей психологии: Уч. / Н.С.Ефимова - М.:ИД Форум, НИЦ ИНФРА-М,2023 - 288 с.(СПО)(п)</t>
  </si>
  <si>
    <t>ОСНОВЫ ОБЩЕЙ ПСИХОЛОГИИ</t>
  </si>
  <si>
    <t>Ефимова Н.С.</t>
  </si>
  <si>
    <t>978-5-8199-0702-3</t>
  </si>
  <si>
    <t>31.02.01, 37.03.01, 44.03.05, 44.03.04, 44.03.02</t>
  </si>
  <si>
    <t>0107</t>
  </si>
  <si>
    <t>708724.07.01</t>
  </si>
  <si>
    <t>Основы орг. внеуроч. занятий шк. по уч. предметам: Уч.пос. / В.И.Казаренков - 2 изд. - М.:НИЦ ИНФРА-М,2023-231с(П)</t>
  </si>
  <si>
    <t>ОСНОВЫ ОРГАНИЗАЦИИ ВНЕУРОЧНЫХ ЗАНЯТИЙ ШКОЛЬНИКОВ ПО УЧЕБНЫМ ПРЕДМЕТАМ, ИЗД.2</t>
  </si>
  <si>
    <t>Казаренков В.И.</t>
  </si>
  <si>
    <t>978-5-16-015267-7</t>
  </si>
  <si>
    <t>44.02.02, 44.02.03, 44.02.04, 44.02.05, 44.02.06</t>
  </si>
  <si>
    <t>698373.04.01</t>
  </si>
  <si>
    <t>Основы орг. внеурочных занятий шк...: Уч.пос. / В.И.Казаренков - 2 изд.-М.:НИЦ ИНФРА-М,2024.-152с(П)</t>
  </si>
  <si>
    <t>978-5-16-019080-8</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</si>
  <si>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направлений 44.03.00 «Образование и педагогические науки» (квалификация (степень) «бакалавр») (протокол № 2 от 28.01.2019)</t>
  </si>
  <si>
    <t>657345.05.01</t>
  </si>
  <si>
    <t>Основы патопсихологии: Уч. / А.П.Бизюк - 2 изд. - М.:НИЦ ИНФРА-М,2023 - 660 с.-(ВО)(п)</t>
  </si>
  <si>
    <t>ОСНОВЫ ПАТОПСИХОЛОГИИ, ИЗД.2</t>
  </si>
  <si>
    <t>Бизюк А.П.</t>
  </si>
  <si>
    <t>978-5-16-018602-3</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</si>
  <si>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укрупненным группам специальностей и направлений подготовки 37.03.00 «Психологические науки», 44.03.00 «Образование и педагогические науки» (квалификация (степень) «бакалавр») (протокол № 8 от 22.06.2020)</t>
  </si>
  <si>
    <t>Первый Санкт-Петербургский государственный медицинский университет им. академика И.П.Павлова</t>
  </si>
  <si>
    <t>749782.03.01</t>
  </si>
  <si>
    <t>Основы патопсихологии: Уч. / А.П.Бизюк, - 2 изд.-М.:НИЦ ИНФРА-М,2024.-660 с.(ВО: Специалитет)(П)</t>
  </si>
  <si>
    <t>978-5-16-016701-5</t>
  </si>
  <si>
    <t>37.05.02, 37.05.01, 44.05.01, 40.05.03, 31.05.01, 31.06.01</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</si>
  <si>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укрупненным направлениям подготовки 37.05.00 «Психологические науки» (квалификация (степень) «клинический психолог») (протокол № 8 от 22.06.2020)</t>
  </si>
  <si>
    <t>ПО5</t>
  </si>
  <si>
    <t>632398.04.01</t>
  </si>
  <si>
    <t>Основы педагогики: уч. / Под ред. Галагузова М.А.-М.:НИЦ ИНФРА-М,2023.-272 с..-(ВО)(п)</t>
  </si>
  <si>
    <t>ОСНОВЫ ПЕДАГОГИКИ</t>
  </si>
  <si>
    <t>Дорохова Т.С., Верхотурова Ю.А., Галагузова М.А. и др.</t>
  </si>
  <si>
    <t>978-5-16-018663-4</t>
  </si>
  <si>
    <t>44.03.01, 44.03.05, 44.03.04, 44.03.02, 44.03.03</t>
  </si>
  <si>
    <t>Рекомендовано Учебно-методическим советом ВО в качестве учебника для студентов высших учебных заведений, обучающихся по укрупненной группе специальностей 44.00.00 «Образование и педагогические науки»</t>
  </si>
  <si>
    <t>395100.09.01</t>
  </si>
  <si>
    <t>Основы педагогического мастерства: Уч. / И.П.Андриади - 2 изд. - М.:НИЦ ИНФРА-М,2024 - 209 с.(ВО)(П)</t>
  </si>
  <si>
    <t>ОСНОВЫ ПЕДАГОГИЧЕСКОГО МАСТЕРСТВА, ИЗД.2</t>
  </si>
  <si>
    <t>Андриади И.П.</t>
  </si>
  <si>
    <t>978-5-16-018494-4</t>
  </si>
  <si>
    <t>44.04.02, 44.04.01, 44.04.03, 44.04.04, 44.03.01, 44.03.05, 44.03.04, 44.03.02, 44.03.03</t>
  </si>
  <si>
    <t>Рекомендовано в качестве учебника для студентов высших учебных заведений, обучающихся по направлениям подготовки 44.03.01 «Педагогическое образование», 44.03.02 «Психолого-педагогическое образование», 44.03.05 «Педагогическое образование (с двумя профилями подготовки)» (квалификация (степень) «бакалавр»)</t>
  </si>
  <si>
    <t>091500.12.01</t>
  </si>
  <si>
    <t>Основы педагогического мастерства: Уч.пос. / В.А.Скакун, -2 изд.-М.:Форум, НИЦ ИНФРА-М,2024-208 с.(СПО)(П)</t>
  </si>
  <si>
    <t>Скакун В.А.</t>
  </si>
  <si>
    <t>978-5-00091-724-4</t>
  </si>
  <si>
    <t>49.02.01, 44.02.01, 44.02.02, 44.02.03, 44.02.05, 44.03.01, 44.03.05, 44.03.04, 44.03.03</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</si>
  <si>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укрупненной группе специальностей 44.02.00 «Образование и педагогические науки» (протокол № 12 от 24.06.2019)</t>
  </si>
  <si>
    <t>649110.04.01</t>
  </si>
  <si>
    <t>Основы православной педагог.псих.: Уч.пос. / Под ред. Шишова С.Е.-2 изд.-М.:НИЦ ИНФРА-М,2023-210с(П)</t>
  </si>
  <si>
    <t>ОСНОВЫ ПРАВОСЛАВНОЙ ПЕДАГОГИЧЕСКОЙ ПСИХОЛОГИИ, ИЗД.2</t>
  </si>
  <si>
    <t>Кондратьев С.В., Кондратьева О.В., Шишов С.Е. и др.</t>
  </si>
  <si>
    <t>978-5-16-012690-6</t>
  </si>
  <si>
    <t>37.03.01, 48.04.01, 44.03.01, 44.03.05, 44.03.02, 48.03.01</t>
  </si>
  <si>
    <t>Рекомендовано в качестве учебного пособия для студентов высших учебных заведений, обучающихся по направлениям подготовки 44.03.01 «Педагогическое образование», 37.03.01 «Психология», 44.03.02 «Психолого-педагогическое образование» (квалификация (степень) «бакалавр»)</t>
  </si>
  <si>
    <t>402650.06.01</t>
  </si>
  <si>
    <t>Основы проектир. пед. технолог.: Уч.-мет.пос./А.В.Пашкевич-3изд.-М.:ИЦ РИОР,НИЦ ИНФРА-М,2020-194с(о)</t>
  </si>
  <si>
    <t>ОСНОВЫ ПРОЕКТИРОВАНИЯ ПЕДАГОГИЧЕСКОЙ ТЕХНОЛОГИИ. ВЗАИМОСВЯЗЬ ТЕОРИИ И ПРАКТИКИ, ИЗД.3</t>
  </si>
  <si>
    <t>Пашкевич А. В.</t>
  </si>
  <si>
    <t>978-5-369-01544-5</t>
  </si>
  <si>
    <t>Средняя общеобразовательная школа №1, пгт. Пойковский, Ханты-Мансийский Автономный округ - Югра</t>
  </si>
  <si>
    <t>402650.09.01</t>
  </si>
  <si>
    <t>Основы проектир. педагогич. технологии..: Уч.мет.пос. / А.В.Пашкевич, - 4 изд.-М.:ИЦ РИОР, НИЦ ИНФРА-М,2021.-228с(О)</t>
  </si>
  <si>
    <t>ОСНОВЫ ПРОЕКТИРОВАНИЯ ПЕДАГОГИЧЕСКОЙ ТЕХНОЛОГИИ. ВЗАИМОСВЯЗЬ ТЕОРИИ И ПРАКТИКИ, ИЗД.4</t>
  </si>
  <si>
    <t>978-5-369-01864-4</t>
  </si>
  <si>
    <t>0421</t>
  </si>
  <si>
    <t>675298.06.01</t>
  </si>
  <si>
    <t>Основы профессиологии: Уч.пос. / Э.Ф.Зеер - 2 изд. - М.:НИЦ ИНФРА-М,2023 - 205 с.(ВО: Магистр.)(П)</t>
  </si>
  <si>
    <t>ОСНОВЫ ПРОФЕССИОЛОГИИ, ИЗД.2</t>
  </si>
  <si>
    <t>Зеер Э.Ф., Сыманюк Э.Э., Зиннатова М.В.</t>
  </si>
  <si>
    <t>978-5-16-017191-3</t>
  </si>
  <si>
    <t>37.04.01, 44.04.02, 37.05.01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</si>
  <si>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педагогическим направлениям подготовки (квалификация (степень) «магистр») (протокол № 6 от 16.06.2021)</t>
  </si>
  <si>
    <t>Российский государственный профессионально-педагогический университет</t>
  </si>
  <si>
    <t>322600.05.01</t>
  </si>
  <si>
    <t>Основы профессиональной дидактики: Уч. пос./ П.И.Образцов-М.:Вузовский уч.:НИЦ ИНФРА-М,2023-288с (п)</t>
  </si>
  <si>
    <t>ОСНОВЫ ПРОФЕССИОНАЛЬНОЙ ДИДАКТИКИ</t>
  </si>
  <si>
    <t>Образцов П. И.</t>
  </si>
  <si>
    <t>978-5-9558-0409-5</t>
  </si>
  <si>
    <t>Орловский государственный университет им. И.С. Тургенева</t>
  </si>
  <si>
    <t>427050.05.01</t>
  </si>
  <si>
    <t>Основы психолог. консультирования: Уч.пос. / О.О.Андронникова - М.:Вуз.уч.,НИЦ ИНФРА-М,2020-414с.(П)</t>
  </si>
  <si>
    <t>ОСНОВЫ ПСИХОЛОГИЧЕСКОГО КОНСУЛЬТИРОВАНИЯ</t>
  </si>
  <si>
    <t>978-5-9558-0255-8</t>
  </si>
  <si>
    <t>37.03.01, 37.04.01, 44.04.02, 37.04.02, 37.05.02, 37.05.01, 31.05.01, 31.05.02, 37.03.02, 44.03.02</t>
  </si>
  <si>
    <t>154550.06.01</t>
  </si>
  <si>
    <t>Основы психологии: Уч.пос. / Э.В.Островский - М.:Вуз.уч., ИНФРА-М Изд.Дом,2017 - 268с.(П)</t>
  </si>
  <si>
    <t>ОСНОВЫ ПСИХОЛОГИИ</t>
  </si>
  <si>
    <t>Островский Э. В.</t>
  </si>
  <si>
    <t>978-5-9558-0202-2</t>
  </si>
  <si>
    <t>Рекомендовано РФ Научно-методическим советом по заочному экономическому  образованию в качестве учебного пособия для студентов ВУЗ, обучающихся по экономическим специальностям</t>
  </si>
  <si>
    <t>154550.09.01</t>
  </si>
  <si>
    <t>Основы психологии: Уч.пос. / Э.В.Островский, - 2 изд.-М.:Вуз. уч., НИЦ ИНФРА-М,2023.-272 с.(П)</t>
  </si>
  <si>
    <t>ОСНОВЫ ПСИХОЛОГИИ, ИЗД.2</t>
  </si>
  <si>
    <t>978-5-9558-0563-4</t>
  </si>
  <si>
    <t>427050.10.01</t>
  </si>
  <si>
    <t>Основы психологич. консультирования: Уч.пос. / О.О.Андронникова - 2 изд. - М.:НИЦ ИНФРА-М,2024-424 с.(ВО)(П)</t>
  </si>
  <si>
    <t>ОСНОВЫ ПСИХОЛОГИЧЕСКОГО КОНСУЛЬТИРОВАНИЯ, ИЗД.2</t>
  </si>
  <si>
    <t>Андронникова О.О.</t>
  </si>
  <si>
    <t>978-5-16-016032-0</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</si>
  <si>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психологическим направлениям подготовки (квалификация (степень) «магистр») (протокол № 10 от 12.10.2020)</t>
  </si>
  <si>
    <t>719275.03.01</t>
  </si>
  <si>
    <t>Основы психологич. коррекции детей и подростков: Уч.пос. / С.Н.Савинков - М.:НИЦ ИНФРА-М,2023-217 с.(ВО)(П)</t>
  </si>
  <si>
    <t>ОСНОВЫ ПСИХОЛОГИЧЕСКОЙ КОРРЕКЦИИ ДЕТЕЙ И ПОДРОСТКОВ</t>
  </si>
  <si>
    <t>Савинков С.Н., Барышева Е.О., Золотова В.А. и др.</t>
  </si>
  <si>
    <t>978-5-16-016176-1</t>
  </si>
  <si>
    <t>37.03.01, 44.03.02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</si>
  <si>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44.03.02 «Психолого-педагогическое образование» (квалификация (степень) «бакалавр») (протокол № 2 от 17.02.2021)</t>
  </si>
  <si>
    <t>Российская международная академия туризма, Московский ф-л</t>
  </si>
  <si>
    <t>122800.13.01</t>
  </si>
  <si>
    <t>Основы психологической безопасности: Уч.пос. / Н.С.Ефимова - М.:ИД ФОРУМ,НИЦ ИНФРА-М,2023 -192с.(ВО)</t>
  </si>
  <si>
    <t>ОСНОВЫ ПСИХОЛОГИЧЕСКОЙ БЕЗОПАСНОСТИ</t>
  </si>
  <si>
    <t>Ефимова Н. С.</t>
  </si>
  <si>
    <t>978-5-8199-0415-2</t>
  </si>
  <si>
    <t>35.02.12, 38.02.07, 38.02.03, 37.03.01, 44.04.01, 44.03.01, 44.03.05</t>
  </si>
  <si>
    <t>Рекомендовано Ученым Советом гуманитарного факультета РХТУ им Д.И. Менделеева в качестве учебного пособия для студентов вузов, обучающихся по специальности 050104 "Безопасность жизнедеятельности"</t>
  </si>
  <si>
    <t>704423.03.01</t>
  </si>
  <si>
    <t>Основы спец. педагогики и психологии: Уч. / Е.Ю.Азбукина-М.:НИЦ ИНФРА-М,2023.-396 с.(ВО: Бакалавр.)(п)</t>
  </si>
  <si>
    <t>ОСНОВЫ СПЕЦИАЛЬНОЙ ПЕДАГОГИКИ И ПСИХОЛОГИИ</t>
  </si>
  <si>
    <t>Азбукина Е.Ю., Михайлова Е.Н.</t>
  </si>
  <si>
    <t>978-5-16-015062-8</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</si>
  <si>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направлениям подготовки 44.03.02 «Психолого-педагогическое образование», 44.03.03 «Специальное (дефектологическое) образование» (квалификация (степень) «бакалавр») (протокол № 4 от 25.02.2019)</t>
  </si>
  <si>
    <t>Московский институт открытого образования</t>
  </si>
  <si>
    <t>712372.04.01</t>
  </si>
  <si>
    <t>Основы специальной педагогики и психологии: Уч. / Е.Ю.Азбукина - М.:НИЦ ИНФРА-М,2023 - 396 с.-(СПО)(П)</t>
  </si>
  <si>
    <t>978-5-16-015362-9</t>
  </si>
  <si>
    <t>44.00.00, 44.02.03, 44.02.05, 37.00.00</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</si>
  <si>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укрупненной группе специальностей 44.02.00 «Образование и педагогические науки» (протокол № 5 от 11.03.2019)</t>
  </si>
  <si>
    <t>800200.01.01</t>
  </si>
  <si>
    <t>Основы стилевой дидактики в совр. шк.: Моногр. / С.А.Старченко-М.:НИЦ ИНФРА-М,2023.-214 с.(о)</t>
  </si>
  <si>
    <t>ОСНОВЫ СТИЛЕВОЙ ДИДАКТИКИ В СОВРЕМЕННОЙ ШКОЛЕ</t>
  </si>
  <si>
    <t>Старченко С.А.</t>
  </si>
  <si>
    <t>978-5-16-018356-5</t>
  </si>
  <si>
    <t>44.04.01, 44.06.01, 44.03.05</t>
  </si>
  <si>
    <t>Троицкий педагогический колледж</t>
  </si>
  <si>
    <t>Июль, 2023</t>
  </si>
  <si>
    <t>683411.04.01</t>
  </si>
  <si>
    <t>Основы учебно-познавательной деят. студ. колледжа...: Уч.пос. / В.А. Беликов — М.:ИНФРА-М,2024-179с</t>
  </si>
  <si>
    <t>ОСНОВЫ УЧЕБНО-ПОЗНАВАТЕЛЬНОЙ ДЕЯТЕЛЬНОСТИ СТУДЕНТОВ КОЛЛЕДЖА. МЕТОДИЧЕСКИЕ СОВЕТЫ ОБУЧАЮЩИМСЯ ПО ФОРМИРОВАНИЮ БАЗОВЫХ УЧЕБНЫХ УМЕНИЙ</t>
  </si>
  <si>
    <t>Беликов В.А., Романов П.Ю.</t>
  </si>
  <si>
    <t>978-5-16-014399-6</t>
  </si>
  <si>
    <t>44.02.06, 31.02.01, 44.03.01, 44.03.05, 44.03.04</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</si>
  <si>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на базе основного общего образования</t>
  </si>
  <si>
    <t>278200.07.01</t>
  </si>
  <si>
    <t>Основы эвалюации в упр.качеством обр.: Моногр. / М.В.Гуськова - М.:НИЦ ИНФРА-М,2022 - 204 с.(Науч.мысль)(о)</t>
  </si>
  <si>
    <t>ОСНОВЫ ЭВАЛЮАЦИИ В УПРАВЛЕНИИ КАЧЕСТВОМ ОБРАЗОВАНИЯ</t>
  </si>
  <si>
    <t>Гуськова М.В.</t>
  </si>
  <si>
    <t>978-5-16-009807-4</t>
  </si>
  <si>
    <t>433100.05.01</t>
  </si>
  <si>
    <t>Особенности операций мышления и их коррекц..: Уч. пос./ А.А.Тараканова -М.:Форум, НИЦ ИНФРА-М, 2024-176с.(ВО)</t>
  </si>
  <si>
    <t>ОСОБЕННОСТИ ОПЕРАЦИЙ МЫШЛЕНИЯ И ИХ КОРРЕКЦИЯ У МЛАДШИХ ШКОЛЬНИКОВ С НАРУШЕНИЯМИ ПИСЬМА</t>
  </si>
  <si>
    <t>Тараканова А.А.</t>
  </si>
  <si>
    <t>978-5-00091-125-9</t>
  </si>
  <si>
    <t>641997.05.01</t>
  </si>
  <si>
    <t>Особенности проф.-ориентир.обуч.в компет.обр. простр.: Моногр/Е.А.Макарова-М.:НИЦ ИНФРА-М,2024-128с.</t>
  </si>
  <si>
    <t>ОСОБЕННОСТИ ПРОФЕССИОНАЛЬНО-ОРИЕНТИРОВАННОГО ОБУЧЕНИЯ В КОМПЕТЕНТНОСТНОМ ОБРАЗОВАТЕЛЬНОМ ПРОСТРАНСТВЕ</t>
  </si>
  <si>
    <t>Макарова Е.А., Макарова Е.Л.</t>
  </si>
  <si>
    <t>978-5-16-012617-3</t>
  </si>
  <si>
    <t>Таганрогский институт управления и экономики</t>
  </si>
  <si>
    <t>733985.02.01</t>
  </si>
  <si>
    <t>Особенности психологич. базиса чт. умственно отсталых шк...: Моногр. / В.В.Ткачева-М.:НИЦ ИНФРА-М,2022-215с(О)</t>
  </si>
  <si>
    <t>ОСОБЕННОСТИ ПСИХОЛОГИЧЕСКОГО БАЗИСА ЧТЕНИЯ УМСТВЕННО ОТСТАЛЫХ ШКОЛЬНИКОВ СО СЛОЖНЫМИ НАРУШЕНИЯМИ РАЗВИТИЯ</t>
  </si>
  <si>
    <t>Ткачева В.В., Каткова И.А.</t>
  </si>
  <si>
    <t>978-5-16-016440-3</t>
  </si>
  <si>
    <t>44.04.03, 44.05.01, 44.06.01, 44.03.03</t>
  </si>
  <si>
    <t>713678.07.01</t>
  </si>
  <si>
    <t>Особенности работы с детьми с ОВЗ дошк. возраста: Уч.мет.пос. / С.В.Гайченко - М.:НИЦ ИНФРА-М,2024-167c(П)</t>
  </si>
  <si>
    <t>ОСОБЕННОСТИ РАБОТЫ С ДЕТЬМИ С ОВЗ ДОШКОЛЬНОГО ВОЗРАСТА</t>
  </si>
  <si>
    <t>Гайченко С.В., Иванова О.А.</t>
  </si>
  <si>
    <t>978-5-16-015566-1</t>
  </si>
  <si>
    <t>44.04.03, 44.06.01, 44.03.03</t>
  </si>
  <si>
    <t>645512.05.01</t>
  </si>
  <si>
    <t>Оценка качества научно-педагог. исслед.: Уч.пос./ В.М.Полонский,- 2изд.-М.:НИЦ ИНФРА-М,2023.-220с(П)</t>
  </si>
  <si>
    <t>ОЦЕНКА КАЧЕСТВА НАУЧНО-ПЕДАГОГИЧЕСКИХ ИССЛЕДОВАНИЙ, ИЗД.2</t>
  </si>
  <si>
    <t>Полонский В.М.</t>
  </si>
  <si>
    <t>978-5-16-012472-8</t>
  </si>
  <si>
    <t>44.04.02, 44.04.01, 44.04.03, 44.04.04</t>
  </si>
  <si>
    <t>Рекомендовано Учебно-методическим советом ВО в качестве учебного пособия для студентов высших учебных заведений, обучающихся по направлению подготовки 44.04.00 «Образование и педагогические науки» (квалификация (степень) «магистр»)</t>
  </si>
  <si>
    <t>652087.03.01</t>
  </si>
  <si>
    <t>Очерки по истории методики обуч. математ. (до 1917г.): Моногр. / О.А.Саввина-М:НИЦ ИНФРА-М,2019-189с</t>
  </si>
  <si>
    <t>ОЧЕРКИ ПО ИСТОРИИ МЕТОДИКИ ОБУЧЕНИЯ МАТЕМАТИКЕ (ДО 1917Г.)</t>
  </si>
  <si>
    <t>Саввина О.А.</t>
  </si>
  <si>
    <t>978-5-16-012615-9</t>
  </si>
  <si>
    <t>44.03.01, 44.03.05, 44.03.03</t>
  </si>
  <si>
    <t>632405.05.01</t>
  </si>
  <si>
    <t>Патопсихология  общественной безопасности: Уч.пос. / Б.Н.Алмазов-М.:НИЦ ИНФРА-М,2023.-219 с-(ВО)(П)</t>
  </si>
  <si>
    <t>ПАТОПСИХОЛОГИЯ  ОБЩЕСТВЕННОЙ БЕЗОПАСНОСТИ</t>
  </si>
  <si>
    <t>Алмазов Б.Н.</t>
  </si>
  <si>
    <t>978-5-16-012148-2</t>
  </si>
  <si>
    <t>40.02.02, 37.03.01, 40.03.01, 40.04.01, 37.05.01, 40.05.01, 44.03.05</t>
  </si>
  <si>
    <t>Рекомендовано в качестве учебного пособия для студентов высших учебных заведений, обучающихся по направлениям подготовки 40.05.01 «Правовое обеспечение национальной безопасности», 40.05.02 «Правоохранительная деятельность», 40.05.03 «Судебная экспертиза» (квалификация «юрист», «судебный эксперт»)</t>
  </si>
  <si>
    <t>Уральский государственный юридический университет имени В.Ф. Яковлева</t>
  </si>
  <si>
    <t>346000.11.01</t>
  </si>
  <si>
    <t>Педагогика воспитания: теор.,метод.,технол..: Уч. / А.Н.Ходусов - 2 изд. - М.:НИЦ ИНФРА-М,2023-405с.(П)</t>
  </si>
  <si>
    <t>ПЕДАГОГИКА ВОСПИТАНИЯ: ТЕОРИЯ, МЕТОДОЛОГИЯ, ТЕХНОЛОГИЯ, МЕТОДИКА, ИЗД.2</t>
  </si>
  <si>
    <t>978-5-16-018495-1</t>
  </si>
  <si>
    <t>Рекомендовано УМО по образованию в области подготовки педагогических кадров в качестве учебника для осуществления образовательной деятельности по направлению 44.03.01 «Педагогическое образование»</t>
  </si>
  <si>
    <t>631501.07.01</t>
  </si>
  <si>
    <t>Педагогика высшей школы: Уч. / О.П.Околелов - М.:НИЦ ИНФРА-М,2023 - 187 с.-(ВО: Магистратура)(О)</t>
  </si>
  <si>
    <t>ПЕДАГОГИКА ВЫСШЕЙ ШКОЛЫ</t>
  </si>
  <si>
    <t>978-5-16-011924-3</t>
  </si>
  <si>
    <t>51.04.04, 44.04.02, 47.04.03, 44.04.01</t>
  </si>
  <si>
    <t>Рекомендовано в качестве учебника для студентов высших учебных заведений, обучающихся по направлениям подготовки 44.04.01 «Педагогическое образование», 44.04.02 «Психолого-педагогическое образование», 47.04.03 «Религиоведение» (квалификация (степень) «магистр»)</t>
  </si>
  <si>
    <t>720209.06.01</t>
  </si>
  <si>
    <t>Педагогика дет. оздоровит. лагеря: прак.: Уч.пос./ Под ред. Борисовой М.М.-М.:НИЦ ИНФРА-М,2023-258 с.(П)</t>
  </si>
  <si>
    <t>ПЕДАГОГИКА ДЕТСКОГО ОЗДОРОВИТЕЛЬНОГО ЛАГЕРЯ: ПРАКТИКУМ</t>
  </si>
  <si>
    <t>Борисова М.М., Илюшина Н.Н., Павлова Н.П. и др.</t>
  </si>
  <si>
    <t>978-5-16-015674-3</t>
  </si>
  <si>
    <t>49.02.01, 44.02.02, 44.02.03</t>
  </si>
  <si>
    <t>644553.07.01</t>
  </si>
  <si>
    <t>Педагогика детского оздор. лагеря: практ.: Уч.пос. / Под ред. Борисовой М.М.-М.:НИЦ ИНФРА-М,2023.-258 с.(П)</t>
  </si>
  <si>
    <t>Илюшина Н.Н., Павлова Н.П., Щербакова Т.Н. и др.</t>
  </si>
  <si>
    <t>978-5-16-010876-6</t>
  </si>
  <si>
    <t>693729.05.01</t>
  </si>
  <si>
    <t>Педагогика детского оздоров. лагеря: Уч. / Под ред. Борисовой М.М. - М.:НИЦ ИНФРА-М,2024 - 216 с.(СПО)(П)</t>
  </si>
  <si>
    <t>ПЕДАГОГИКА ДЕТСКОГО ОЗДОРОВИТЕЛЬНОГО ЛАГЕРЯ</t>
  </si>
  <si>
    <t>978-5-16-014468-9</t>
  </si>
  <si>
    <t>44.00.00, 49.02.01, 44.02.03, 44.02.05</t>
  </si>
  <si>
    <t>632264.05.01</t>
  </si>
  <si>
    <t>Педагогика детского оздоровит. лагеря: Уч. / Под ред. Борисовой М.М. - М.:НИЦ ИНФРА-М,2023-216с.(ВО)(П)</t>
  </si>
  <si>
    <t>978-5-16-012565-7</t>
  </si>
  <si>
    <t>44.03.01, 44.03.02</t>
  </si>
  <si>
    <t>451150.09.01</t>
  </si>
  <si>
    <t>Педагогика и психология высшей шк.Инновац.курс..: Уч.пос./В.П.Симонов-М.:Вуз.уч.,НИЦ ИНФРА-М,2024-320с.(П)</t>
  </si>
  <si>
    <t>ПЕДАГОГИКА И ПСИХОЛОГИЯ ВЫСШЕЙ ШКОЛЫ. ИННОВАЦИОННЫЙ КУРС ДЛЯ ПОДГОТОВКИ МАГИСТРОВ</t>
  </si>
  <si>
    <t>Симонов В.П.</t>
  </si>
  <si>
    <t>Высшее образование: Магистратура</t>
  </si>
  <si>
    <t>978-5-9558-0336-4</t>
  </si>
  <si>
    <t>06.03.01, 37.03.01, 46.03.01, 40.03.01, 06.03.02, 51.04.04, 37.04.01, 44.04.02, 47.04.03, 44.04.01, 54.04.01, 54.04.02, 35.04.08, 11.04.02, 44.03.01, 44.03.05, 44.03.02, 49.03.02, 52.03.05, 52.03.04</t>
  </si>
  <si>
    <t>Рекомендовано УМО по психолого-педагогическим наукам Московского государственного областного университета для обучения магистрантов</t>
  </si>
  <si>
    <t>Государственный Университет Просвещения</t>
  </si>
  <si>
    <t>753037.03.01</t>
  </si>
  <si>
    <t>Педагогика и психология детей с умств. отсталостью..: Уч. / И.М.Яковлева-М.:НИЦ ИНФРА-М,2023.-382 с.(п)</t>
  </si>
  <si>
    <t>ПЕДАГОГИКА И ПСИХОЛОГИЯ ДЕТЕЙ С УМСТВЕННОЙ ОТСТАЛОСТЬЮ (ИНТЕЛЛЕКТУАЛЬНЫМИ НАРУШЕНИЯМИ)</t>
  </si>
  <si>
    <t>Яковлева И.М., Браткова М.В., Караневская О.В. и др.</t>
  </si>
  <si>
    <t>978-5-16-018636-8</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</si>
  <si>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направлениям подготовки 44.03.03 «Специальное (дефектологическое) образование», 44.03.02 «Психолого-педагогическое образование», 44.03.01 «Педагогическое образование» (квалификация (степень) «бакалавр») (протокол № 6 от 08.06.2022)</t>
  </si>
  <si>
    <t>764093.02.01</t>
  </si>
  <si>
    <t>Педагогика и психология: Уч.пос. / Л.А.Кудряшева - М.:Вуз. уч., НИЦ ИНФРА-М,2022 - 160 с.(СПО)(П)</t>
  </si>
  <si>
    <t>ПЕДАГОГИКА И ПСИХОЛОГИЯ</t>
  </si>
  <si>
    <t>Кудряшева Л.А.</t>
  </si>
  <si>
    <t>978-5-9558-0652-5</t>
  </si>
  <si>
    <t>00.02.15</t>
  </si>
  <si>
    <t>Рекомендовано Межрегиональным учебно-методическим советом профессионального образования для использования в учебном процессе в учебных заведениях, реализующих основную профессиональную образовательную программу СПО (протокол № 4 от 21.04.2021)</t>
  </si>
  <si>
    <t>373400.07.01</t>
  </si>
  <si>
    <t>Педагогика и психология: Уч.пос. / Л.А.Кудряшева - М.:Вуз. уч., НИЦ ИНФРА-М,2024 - 160 с.(Краткий курс)(О)</t>
  </si>
  <si>
    <t>Краткий курс</t>
  </si>
  <si>
    <t>978-5-9558-0262-6</t>
  </si>
  <si>
    <t>00.05.15, 00.03.15</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</si>
  <si>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основным образовательным программам высшего образования по направлениям подготовки бакалавриата (протокол № 2 от 17.02.2021)</t>
  </si>
  <si>
    <t>753672.03.01</t>
  </si>
  <si>
    <t>Педагогика инклюзивного образ.: Уч. / Под ред. Сальдаевой О.В.-М.:НИЦ ИНФРА-М,2023.-439 с.(ВО)(П)</t>
  </si>
  <si>
    <t>ПЕДАГОГИКА ИНКЛЮЗИВНОГО ОБРАЗОВАНИЯ</t>
  </si>
  <si>
    <t>Рындак В.Г., Сальдаева О.В., Аитбаева Р.Р. и др.</t>
  </si>
  <si>
    <t>978-5-16-017310-8</t>
  </si>
  <si>
    <t>44.03.04, 44.03.02, 44.03.03, 49.03.02</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</si>
  <si>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направлениям подготовки 44.03.01 «Педагогическое образование», 44.03.02 «Психолого-педагогическое образование», 44.03.03 «Специальное (дефектологическое) образование» (квалификация (степень) «бакалавр») (протокол № 9 от 17.11.2022)</t>
  </si>
  <si>
    <t>683085.09.01</t>
  </si>
  <si>
    <t>Педагогика инклюзивного образования: Уч. / Под ред. Назаровой Н.М. - М.:НИЦ ИНФРА-М,2024-335с(СПО)(П)</t>
  </si>
  <si>
    <t>Богданова Т.Г., Гусейнова А.А., Назарова Н.М. и др.</t>
  </si>
  <si>
    <t>978-5-16-013993-7</t>
  </si>
  <si>
    <t>44.00.00, 44.02.04, 44.02.05</t>
  </si>
  <si>
    <t>Рекомендовано Учебно-методическим советом СПО в качестве учебника для студентов учебных заведений, реализующих программу среднего профессионального образования по специальностям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t>
  </si>
  <si>
    <t>388200.13.01</t>
  </si>
  <si>
    <t>Педагогика инклюзивного образования: Уч. / Т.Г.Богданова - М.:НИЦ ИНФРА-М,2024 - 335 с.(ВО.)(П)</t>
  </si>
  <si>
    <t>978-5-16-019178-2</t>
  </si>
  <si>
    <t>44.02.01, 44.03.02, 44.03.03</t>
  </si>
  <si>
    <t>Рекомендовано в качестве учебника для студентов высших учебных заведений, обучающихся по направлениям подготовки  44.03.01 «Педагогическое образование», 44.03.02 «Психолого-педагогическое образование», 44.03.04 «Профессиональное обучение» (квалификация (степень) «бакалавр»)</t>
  </si>
  <si>
    <t>476650.04.01</t>
  </si>
  <si>
    <t>Педагогика текста и психолингвистка: Уч.пос. /О.Г.Ивановская -Форум, НИЦ ИНФРА-М, 2020 -160с (ВО)(О)</t>
  </si>
  <si>
    <t>ПЕДАГОГИКА ТЕКСТА И ПСИХОЛИНГВИСТИКА</t>
  </si>
  <si>
    <t>Ивановская О.Г.</t>
  </si>
  <si>
    <t>978-5-00091-603-2</t>
  </si>
  <si>
    <t>44.04.03, 44.03.03, 45.03.03</t>
  </si>
  <si>
    <t>Рекомендовано в качестве учебного пособия для студентов высших учебных заведений, обучающихся по направлениям подготовки 44.04.03 «Специальное (дефектологическое) образование» (магистратура) и 44.03.03 «Специальное (дефектологическое) образование» (бакалавриат) по профилю подготовки «Логопедия»</t>
  </si>
  <si>
    <t>707162.01.01</t>
  </si>
  <si>
    <t>Педагогика. Семье и школе: Наст. кн. для учителей..: Прак. пос. / Я.С.Турбовской-М.:НИЦ ИНФРА-М,2023.-281с(п)</t>
  </si>
  <si>
    <t>ПЕДАГОГИКА. СЕМЬЕ И ШКОЛЕ. НАСТОЛЬНАЯ КНИГА ДЛЯ УЧИТЕЛЕЙ И РОДИТЕЛЕЙ</t>
  </si>
  <si>
    <t>978-5-16-015254-7</t>
  </si>
  <si>
    <t>00.03.11, 44.00.00, 44.02.06, 44.04.02, 44.03.01</t>
  </si>
  <si>
    <t>Март, 2023</t>
  </si>
  <si>
    <t>707164.02.01</t>
  </si>
  <si>
    <t>Педагогика: Монография / Я.С.Турбовской-М.:НИЦ ИНФРА-М,2023.-209 с.(Науч.мысль)(О)</t>
  </si>
  <si>
    <t>ПЕДАГОГИКА</t>
  </si>
  <si>
    <t>978-5-16-016499-1</t>
  </si>
  <si>
    <t>44.04.02, 44.04.01, 44.04.03, 44.04.04, 44.05.01, 44.06.01, 44.03.01</t>
  </si>
  <si>
    <t>737306.01.01</t>
  </si>
  <si>
    <t>Педагогика: теория и методика воспит. работы: Уч.пос. / В.Г.Рындак-М.:НИЦ ИНФРА-М,2023.-334 с.(ВО)(п)</t>
  </si>
  <si>
    <t>ПЕДАГОГИКА: ТЕОРИЯ И МЕТОДИКА ВОСПИТАТЕЛЬНОЙ РАБОТЫ</t>
  </si>
  <si>
    <t>Рындак В.Г., Москвина А.В., Пак Л.Г. и др.</t>
  </si>
  <si>
    <t>978-5-16-016827-2</t>
  </si>
  <si>
    <t>Допущено УМС ОГПУ в качестве учебника для обучающихся по УГНС 44.00.00 Образование и педагогические науки по дисциплинам «Теории и технологии обучения и воспитания», «Профессиональная ориентация и профессиональное самоопределение обучающихся», «Теория и технология организации воспитательных практик», «Педагогика», «Профессиональное воспитание», «Этические основы духовно-нравственного воспитания личности»</t>
  </si>
  <si>
    <t>Апрель, 2023</t>
  </si>
  <si>
    <t>753310.03.01</t>
  </si>
  <si>
    <t>Педагогика: теория и практика...: Уч. / С.С.Кашлев-М.:НИЦ ИНФРА-М,2023.-462 с.(ВО)(П)</t>
  </si>
  <si>
    <t>ПЕДАГОГИКА: ТЕОРИЯ И ПРАКТИКА ПЕДАГОГИЧЕСКОГО ПРОЦЕССА</t>
  </si>
  <si>
    <t>Кашлев С.С.</t>
  </si>
  <si>
    <t>978-5-16-018498-2</t>
  </si>
  <si>
    <t>00.03.15, 51.03.03</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</si>
  <si>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педагогическим направлениям подготовки (квалификация (степень) «бакалавр») (протокол № 6 от 08.06.2022)</t>
  </si>
  <si>
    <t>753755.01.01</t>
  </si>
  <si>
    <t>Педагогика: Уч. / В.Г.Рындак и др. - М.:НИЦ ИНФРА-М,2021 - 421 с.-(СПО)(П)</t>
  </si>
  <si>
    <t>Рындак В.Г., Аллагулов А.М., Челпаченко Т.В. и др.</t>
  </si>
  <si>
    <t>978-5-16-016836-4</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</si>
  <si>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педагогическим специальностям (протокол № 10 от 12.10.2020)</t>
  </si>
  <si>
    <t>650123.05.01</t>
  </si>
  <si>
    <t>Педагогика: Уч. / В.Г.Рындак.-М.:НИЦ ИНФРА-М,2023.- 427 с.(ВО)(п)</t>
  </si>
  <si>
    <t>978-5-16-018433-3</t>
  </si>
  <si>
    <t>Рекомендовано в качестве учебника для студентов высших учебных заведений, обучающихся по направлениям подготовки 44.03.01 «Педагогическое образование» и 44.03.05 «Педагогическое образование (с двумя профилями подготовки)» (квалификация (степень) «бакалавр»)</t>
  </si>
  <si>
    <t>720241.03.01</t>
  </si>
  <si>
    <t>Педагогика: Уч.пос. / В.М.Кроль - М.:ИЦ РИОР, НИЦ ИНФРА-М,2023 - 303 с.-(СПО)(П)</t>
  </si>
  <si>
    <t>Кроль В.М.</t>
  </si>
  <si>
    <t>978-5-369-01827-9</t>
  </si>
  <si>
    <t>49.02.01, 44.02.01, 44.02.02, 44.02.03, 44.02.05</t>
  </si>
  <si>
    <t>МИРЭА - Российский технологический университет</t>
  </si>
  <si>
    <t>393200.07.01</t>
  </si>
  <si>
    <t>Педагогика: Уч.пос. / В.М.Кроль, - 2изд.,-М.:ИЦ РИОР,НИЦ ИНФРА-М,2023-303с.(ВО:Бакалавр.)(П)</t>
  </si>
  <si>
    <t>ПЕДАГОГИКА, ИЗД.2</t>
  </si>
  <si>
    <t>978-5-369-01536-0</t>
  </si>
  <si>
    <t>088090.04.01</t>
  </si>
  <si>
    <t>Педагогика: Шпаргалка - М.:ИЦ РИОР, НИЦ ИНФРА-М,2018 - 106 с.-(Шпаргалка [отрывная])(О,к/ф)</t>
  </si>
  <si>
    <t>Без автора</t>
  </si>
  <si>
    <t>Шпаргалка [отрывная]</t>
  </si>
  <si>
    <t>978-5-369-00226-1</t>
  </si>
  <si>
    <t>Шпаргалка</t>
  </si>
  <si>
    <t>389900.05.01</t>
  </si>
  <si>
    <t>Педагогическая аксиология: Уч. пос. / А.В.Кирьякова - М.:НИЦ ИНФРА-М, 2023 -283с. (ВО:Бакалавр.) (п)</t>
  </si>
  <si>
    <t>ПЕДАГОГИЧЕСКАЯ АКСИОЛОГИЯ</t>
  </si>
  <si>
    <t>КирьяковаА.В., МелекесовГ.А., МосиенкоЛ.В. и др.</t>
  </si>
  <si>
    <t>978-5-16-011192-6</t>
  </si>
  <si>
    <t>Рекомендовано в качестве учебного пособия для студентов высших учебных заведений, обучающихся по направлению подготовки 44.03.01 «Педагогическое образование» (квалификация (степень) «бакалавр»)</t>
  </si>
  <si>
    <t>Оренбургский государственный университет</t>
  </si>
  <si>
    <t>182300.13.01</t>
  </si>
  <si>
    <t>Педагогическая психология: Уч.пос. / Б.Р.Мандель - М.:КУРС, НИЦ ИНФРА-М,2023 - 368 с.(П)</t>
  </si>
  <si>
    <t>ПЕДАГОГИЧЕСКАЯ ПСИХОЛОГИЯ</t>
  </si>
  <si>
    <t>978-5-905554-13-1</t>
  </si>
  <si>
    <t>47.03.01, 37.03.01, 47.04.01, 37.04.01, 44.04.02, 44.04.01, 44.03.01, 44.03.05, 44.03.02</t>
  </si>
  <si>
    <t>662500.05.01</t>
  </si>
  <si>
    <t>Педагогическая риторика: Уч.мет.пос. / О.В.Чернышенко - М.:ИЦ РИОР, НИЦ ИНФРА-М,2020 - 90 с.-(ВО)(О)</t>
  </si>
  <si>
    <t>ПЕДАГОГИЧЕСКАЯ РИТОРИКА</t>
  </si>
  <si>
    <t>Чернышенко О.В.</t>
  </si>
  <si>
    <t>ВО: Бакалавриат</t>
  </si>
  <si>
    <t>978-5-369-01695-4</t>
  </si>
  <si>
    <t>37.03.01, 44.05.01, 44.03.01, 44.03.05</t>
  </si>
  <si>
    <t>Ростовский государственный медицинский университет</t>
  </si>
  <si>
    <t>404400.09.01</t>
  </si>
  <si>
    <t>Педагогическая физиология: Курс лекций. Уч. пос./М.М.Безруких - М.: Форум, 2024-496с.(ВО) (п)</t>
  </si>
  <si>
    <t>ПЕДАГОГИЧЕСКАЯ ФИЗИОЛОГИЯ</t>
  </si>
  <si>
    <t>Безруких М. М.</t>
  </si>
  <si>
    <t>978-5-91134-685-0</t>
  </si>
  <si>
    <t>Рекомендовано Ученым советом Федерального государственного научного учреждения «Институт возрастной физиологии» Российской академии образования для студентов педагогических и психологичеких специальностей вузов (бакалавров и магистров), специалистов системы образования, психологов, социальных работников, а также преподавателей вузов, колледжей, научных работников</t>
  </si>
  <si>
    <t>Институт возрастной физиологии Российской Академии Образования</t>
  </si>
  <si>
    <t>646398.04.01</t>
  </si>
  <si>
    <t>Педагогические аспекты проблемы обесп. безоп. детей..:Моногр./Л.Л.Тимофеева-М.:НИЦ ИНФРА-М,2024-205с</t>
  </si>
  <si>
    <t>ПЕДАГОГИЧЕСКИЕ АСПЕКТЫ ПРОБЛЕМЫ ОБЕСПЕЧЕНИЯ БЕЗОПАСНОСТИ ДЕТЕЙ: ИСТОРИКО-КУЛЬТУРНЫЙ АНАЛИЗ</t>
  </si>
  <si>
    <t>Тимофеева Л.Л.</t>
  </si>
  <si>
    <t>978-5-16-014039-1</t>
  </si>
  <si>
    <t>631525.06.01</t>
  </si>
  <si>
    <t>Педагогические технологии: Уч. / Д.Г. Левитес - М.:НИЦ ИНФРА-М,2023 - 403 с. (ВО: Бакалавриат) (П)</t>
  </si>
  <si>
    <t>ПЕДАГОГИЧЕСКИЕ ТЕХНОЛОГИИ</t>
  </si>
  <si>
    <t>Левитес Д.Г.</t>
  </si>
  <si>
    <t>978-5-16-011928-1</t>
  </si>
  <si>
    <t>44.04.02, 44.04.01, 44.04.04, 44.03.01, 44.03.04, 44.03.02</t>
  </si>
  <si>
    <t>Рекомендовано Редакционно-издательским советом Российской академии образования (на основании Приказа Министерства образования и науки РФ от 15 января 2007 года № 10)</t>
  </si>
  <si>
    <t>798749.01.01</t>
  </si>
  <si>
    <t>Педагогические условия формирования профессиональной компетентности учителя в образовательном процессе вуза: монография / С.С.Савельева-М.:НИЦ ИНФРА-М</t>
  </si>
  <si>
    <t>ПЕДАГОГИЧЕСКИЕ УСЛОВИЯ ФОРМИРОВАНИЯ ПРОФЕССИОНАЛЬНОЙ КОМПЕТЕНТНОСТИ УЧИТЕЛЯ В ОБРАЗОВАТЕЛЬНОМ ПРОЦЕССЕ ВУЗА</t>
  </si>
  <si>
    <t>Савельева С.С.</t>
  </si>
  <si>
    <t>978-5-16-018240-7</t>
  </si>
  <si>
    <t>Государственный социально-гуманитарный университет</t>
  </si>
  <si>
    <t>489200.07.01</t>
  </si>
  <si>
    <t>Педагогический словарь: Словарь / И.П.Андриади - М.:НИЦ ИНФРА-М,2023-224с.(Б-ка.сл."Инфра-М")(П)</t>
  </si>
  <si>
    <t>ПЕДАГОГИЧЕСКИЙ СЛОВАРЬ</t>
  </si>
  <si>
    <t>Андриади И.П., Темина С.Ю.</t>
  </si>
  <si>
    <t>978-5-16-011752-2</t>
  </si>
  <si>
    <t>664590.04.01</t>
  </si>
  <si>
    <t>Первые шаги к грамоте: от рисунка к письму: Уч.мет.пос. / Е.А.Кинаш-М.:НИЦ ИНФРА-М,2024.-146 с.(П)</t>
  </si>
  <si>
    <t>ПЕРВЫЕ ШАГИ К ГРАМОТЕ: ОТ РИСУНКА К ПИСЬМУ</t>
  </si>
  <si>
    <t>Кинаш Е.А.</t>
  </si>
  <si>
    <t>978-5-16-014852-6</t>
  </si>
  <si>
    <t>470300.07.01</t>
  </si>
  <si>
    <t>Подготовка студентов к обучению в аспирантуре вуза...: Моногр. / С.Д.Резник - М.:НИЦ ИНФРА-М,2024.-157 с (О)</t>
  </si>
  <si>
    <t>ПОДГОТОВКА СТУДЕНТОВ К ОБУЧЕНИЮ В АСПИРАНТУРЕ ВУЗА: СИСТЕМА И МЕХАНИЗМЫ УПРАВЛЕНИЯ</t>
  </si>
  <si>
    <t>Резник С.Д., Устинова Д.В.</t>
  </si>
  <si>
    <t>978-5-16-011570-2</t>
  </si>
  <si>
    <t>38.04.09, 38.04.01, 38.04.08, 38.04.02, 38.04.03, 38.04.04, 38.05.01, 38.05.02</t>
  </si>
  <si>
    <t>700292.02.01</t>
  </si>
  <si>
    <t>Правовое регулир. трансформации рос. образов...:Моногр. / А.Г.Чернявский.-М.ИНФРА-М,2023-174(О)</t>
  </si>
  <si>
    <t>ПРАВОВОЕ РЕГУЛИРОВАНИЕ ТРАНСФОРМАЦИИ РОССИЙСКОГО ОБРАЗОВАНИЯ В УСЛОВИЯХ ГЛОБАЛИЗАЦИИ В СОЦИАЛЬНО-КУЛЬТУРНОЙ СРЕДЕ</t>
  </si>
  <si>
    <t>Чернявский А.Г., Бурьянов С.А., Кривенький А.И.</t>
  </si>
  <si>
    <t>978-5-16-014864-9</t>
  </si>
  <si>
    <t>40.03.01, 40.04.01, 44.03.01, 44.03.05</t>
  </si>
  <si>
    <t>673986.02.01</t>
  </si>
  <si>
    <t>Практико-ориентир. научно-технич. клубы: Моногр. / Под ред. Мальцевой А.А.-М.:НИЦ ИНФРА-М,2023.-372 с.(о)</t>
  </si>
  <si>
    <t>ПРАКТИКО-ОРИЕНТИРОВАННЫЕ НАУЧНО-ТЕХНИЧЕСКИЕ КЛУБЫ КАК НОВЫЙ ФОРМАТ ОРГАНИЗАЦИИ ДОПОЛНИТЕЛЬНОГО ИНЖЕНЕРНОГО ОБРАЗОВАНИЯ</t>
  </si>
  <si>
    <t>Барсукова Н.Е., Веселов И.Н., Каплунов И.А. и др.</t>
  </si>
  <si>
    <t>978-5-16-014831-1</t>
  </si>
  <si>
    <t>39.04.03, 44.04.04, 39.06.01, 44.06.01</t>
  </si>
  <si>
    <t>364500.05.01</t>
  </si>
  <si>
    <t>Практическая девиантология: Уч.мет.пос. / Н.П.Фетискин-М.:Форум, НИЦ ИНФРА-М,2023.-272 с.(ВО)(П)</t>
  </si>
  <si>
    <t>ПРАКТИЧЕСКАЯ ДЕВИАНТОЛОГИЯ</t>
  </si>
  <si>
    <t>Фетискин Н.П.</t>
  </si>
  <si>
    <t>978-5-00091-742-8</t>
  </si>
  <si>
    <t>Костромской государственный университет</t>
  </si>
  <si>
    <t>682645.02.01</t>
  </si>
  <si>
    <t>Предметные компетенции общего матем. образования...: Моногр./ В.И.Горбачев-М.:НИЦ ИНФРА-М,2023-403с.(О)</t>
  </si>
  <si>
    <t>ПРЕДМЕТНЫЕ КОМПЕТЕНЦИИ ОБЩЕГО МАТЕМАТИЧЕСКОГО ОБРАЗОВАНИЯ В КАТЕГОРИИ СУБЪЕКТНОГО РАЗВИТИЯ</t>
  </si>
  <si>
    <t>Горбачев В.И.</t>
  </si>
  <si>
    <t>978-5-16-015403-9</t>
  </si>
  <si>
    <t>44.04.02, 44.04.01, 44.04.03, 44.04.04, 44.06.01, 44.03.01, 44.03.05, 44.03.04</t>
  </si>
  <si>
    <t>Брянский государственный университет им. академика И.Г. Петровского</t>
  </si>
  <si>
    <t>779559.03.01</t>
  </si>
  <si>
    <t>Преемственное формир. стохастической культуры...: Моногр. / А.Ю.Полякова-М.:НИЦ ИНФРА-М,2023.-212 с.(О)</t>
  </si>
  <si>
    <t>ПРЕЕМСТВЕННОЕ ФОРМИРОВАНИЕ СТОХАСТИЧЕСКОЙ КУЛЬТУРЫ ШКОЛЬНИКОВ В УСЛОВИЯХ ЦИФРОВОЙ ТРАНСФОРМАЦИИ ОБЩЕГО ОБРАЗОВАНИЯ</t>
  </si>
  <si>
    <t>Полякова А.Ю.</t>
  </si>
  <si>
    <t>978-5-16-017792-2</t>
  </si>
  <si>
    <t>438300.05.01</t>
  </si>
  <si>
    <t>Преодоление артикул.-акуст.дисграфии у шк.:Уч.-мет.пос./О.Г.Ивановская-Форум,НИЦ ИНФРА-М,2023-160(о)</t>
  </si>
  <si>
    <t>ПРЕОДОЛЕНИЕ АРТИКУЛЯТОРНО-АКУСТИЧЕСКОЙ ДИСГРАФИИ У ШКОЛЬНИКОВ</t>
  </si>
  <si>
    <t>Ивановская О.Г., Куликова Н.С., Хвостова О.А. и др.</t>
  </si>
  <si>
    <t>978-5-00091-135-8</t>
  </si>
  <si>
    <t>44.02.05, 44.04.03, 44.03.03</t>
  </si>
  <si>
    <t>Рекомендовано кафедрой логопедии ЛГУ им. А. С. Пушкина в качестве учебно-методического пособия для студентов высших учебных заведений, обучающихся по направлениям 050700.62 «Специальное (дефектологическое) образование» (бакалавриат), по профилю подготовки «Логопедия» и 050700.68 «Специальное (дефектологическое) образование» (магистратура)</t>
  </si>
  <si>
    <t>734780.03.01</t>
  </si>
  <si>
    <t>Преодоление артикул.-акустич. дисграфии у шк.: Уч.мет.пос. / Елецкая О.В.-М.:Форум, НИЦ ИНФРА-М,2024.-160с(П)</t>
  </si>
  <si>
    <t>978-5-00091-729-9</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</si>
  <si>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специальностям 44.02.04 «Специальное дошкольное образование», 44.02.05 «Коррекционная педагогика в начальном образовании» (протокол № 5 от 16.03.2020)</t>
  </si>
  <si>
    <t>489400.06.01</t>
  </si>
  <si>
    <t>Преподаватели вузов России: формир. и развитие: Моногр./ С.Д.Резник, - 2 изд.,-М.:НИЦ ИНФРА-М,2022-140с.(О)</t>
  </si>
  <si>
    <t>ПРЕПОДАВАТЕЛИ ВУЗОВ РОССИИ: ФОРМИРОВАНИЕ И РАЗВИТИЕ ПРОФЕССИОНАЛЬНЫХ КОМПЕТЕНЦИЙ, ИЗД.2</t>
  </si>
  <si>
    <t>Резник С.Д., Вдовина О.А.</t>
  </si>
  <si>
    <t>978-5-16-015900-3</t>
  </si>
  <si>
    <t>38.06.01, 40.06.01, 44.06.01</t>
  </si>
  <si>
    <t>489400.02.01</t>
  </si>
  <si>
    <t>Преподаватели вузов России: формир.и развитие...: Моногр./ С.Д.Резник-М.:НИЦ ИНФРА-М,2017-140с(О)</t>
  </si>
  <si>
    <t>ПРЕПОДАВАТЕЛИ ВУЗОВ РОССИИ: ФОРМИРОВАНИЕ И РАЗВИТИЕ ПРОФЕССИОНАЛЬНЫХ КОМПЕТЕНЦИЙ</t>
  </si>
  <si>
    <t>978-5-16-011756-0</t>
  </si>
  <si>
    <t>086190.15.01</t>
  </si>
  <si>
    <t>Прикладная психология: Уч.пос. / Н.П.Рапохин - 2 изд, - М.:НИЦ ИНФРА-М,2024 - 471 с.(ВО)(п)</t>
  </si>
  <si>
    <t>ПРИКЛАДНАЯ ПСИХОЛОГИЯ, ИЗД.2</t>
  </si>
  <si>
    <t>Рапохин Н. П.</t>
  </si>
  <si>
    <t>978-5-16-019204-8</t>
  </si>
  <si>
    <t>44.04.02, 38.03.02, 44.03.01, 44.03.05, 44.03.02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</si>
  <si>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38.03.02 «Менеджмент», 41.03.05 «Международные отношения» (квалификация (степень) «бакалавр») (протокол № 3 от 17.03.2021)</t>
  </si>
  <si>
    <t>Национальный исследовательский ядерный университет "МИФИ"</t>
  </si>
  <si>
    <t>086190.11.01</t>
  </si>
  <si>
    <t>Прикладная психология: Уч.пос. / Н.П.Рапохин-М.:НИЦ ИНФРА-М,2020.-430 с..-(ВО: Бакалавриат)(П)</t>
  </si>
  <si>
    <t>ПРИКЛАДНАЯ ПСИХОЛОГИЯ</t>
  </si>
  <si>
    <t>978-5-16-015552-4</t>
  </si>
  <si>
    <t>Рекомендовано Институтом международных отношений МИФИ в качестве учебного пособия для студентов, обучающихся по специальностям «Международные отношения», «Менеджмент», «Педагогика», «Психология»</t>
  </si>
  <si>
    <t>641996.07.01</t>
  </si>
  <si>
    <t>Применение теории схем для формир. культурных фон...: Моногр./ Е.А.Макарова-М:НИЦ ИНФРА-М,2024-104с.(Научная мысль)(О)</t>
  </si>
  <si>
    <t>ПРИМЕНЕНИЕ ТЕОРИИ СХЕМ ДЛЯ ФОРМИРОВАНИЯ КУЛЬТУРНЫХ ФОНОВЫХ ЗНАНИЙ СТУДЕНТОВ И ИХ ИСПОЛЬЗОВАНИЕ В ПРЕПОДАВАНИИ ИНОСТРАННЫХ ЯЗЫКОВ</t>
  </si>
  <si>
    <t>Макарова Е.А.</t>
  </si>
  <si>
    <t>978-5-16-010347-1</t>
  </si>
  <si>
    <t>167450.09.01</t>
  </si>
  <si>
    <t>Принятие роли матери: клинико-психолог. анализ: Моногр. / Т.Д. Василенко - М.: Форум, 2024-176с. (о)</t>
  </si>
  <si>
    <t>ПРИНЯТИЕ РОЛИ МАТЕРИ: КЛИНИКО-ПСИХОЛОГИЧЕСКИЙ АНАЛИЗ</t>
  </si>
  <si>
    <t>Василенко Т. Д., Земзюлина И. н.</t>
  </si>
  <si>
    <t>978-5-91134-592-1</t>
  </si>
  <si>
    <t>37.00.00, 37.03.01, 37.04.01, 37.04.02, 37.05.01, 37.06.01, 37.03.02</t>
  </si>
  <si>
    <t>Курский государственный медицинский университет</t>
  </si>
  <si>
    <t>400600.10.01</t>
  </si>
  <si>
    <t>Проблемно-модульное обучение: Уч.пос. / Е.А.Соколков - М.:Вуз.уч., НИЦ ИНФРА-М,2024 - 392 с.(П)</t>
  </si>
  <si>
    <t>ПРОБЛЕМНО-МОДУЛЬНОЕ ОБУЧЕНИЕ</t>
  </si>
  <si>
    <t>978-5-9558-0261-9</t>
  </si>
  <si>
    <t>Рекомендовано Советом Учебно-методического объединения по образованию в области менеджмента в качестве учебного пособия для студентов всех уровней обучения</t>
  </si>
  <si>
    <t>633167.05.01</t>
  </si>
  <si>
    <t>Проблемы детско-родительских отношен.: Моногр. / Е.М.Ижванова-М.:НИЦ ИНФРА-М,2024-89с(Науч.мысль)(О)</t>
  </si>
  <si>
    <t>ПРОБЛЕМЫ ДЕТСКО-РОДИТЕЛЬСКИХ ОТНОШЕНИЙ</t>
  </si>
  <si>
    <t>Ижванова Е.М.</t>
  </si>
  <si>
    <t>978-5-16-012045-4</t>
  </si>
  <si>
    <t>37.03.01, 44.03.05</t>
  </si>
  <si>
    <t>Московский государственный университет им. М.В. Ломоносова</t>
  </si>
  <si>
    <t>427600.07.01</t>
  </si>
  <si>
    <t>Проблемы образования в совр. зарубеж. психологии: Уч.пос. / Л.В.Губанова-М.:НИЦ ИНФРА-М,2024.-58 с.(ВО)(О)</t>
  </si>
  <si>
    <t>ПРОБЛЕМЫ ОБРАЗОВАНИЯ В СОВРЕМЕННОЙ ЗАРУБЕЖНОЙ ПСИХОЛОГИИ</t>
  </si>
  <si>
    <t>Губанова Л. В.</t>
  </si>
  <si>
    <t>978-5-16-006364-5</t>
  </si>
  <si>
    <t>732747.03.01</t>
  </si>
  <si>
    <t>Проектирование инновац. технологий и моделир...: Уч.мет.пос. / В.П.Сергеева-М.:НИЦ ИНФРА-М,2023.-240с(П)</t>
  </si>
  <si>
    <t>ПРОЕКТИРОВАНИЕ ИННОВАЦИОННЫХ ТЕХНОЛОГИЙ И МОДЕЛИРОВАНИЕ В ОБРАЗОВАТЕЛЬНОМ ПРОЦЕССЕ ВУЗА</t>
  </si>
  <si>
    <t>Сергеева В.П.</t>
  </si>
  <si>
    <t>978-5-16-016179-2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</si>
  <si>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направлений подготовки 44.04.00 «Образование и педагогические науки» (квалификация (степень) «магистр») (протокол № 5 от 16.03.2020)</t>
  </si>
  <si>
    <t>407550.06.01</t>
  </si>
  <si>
    <t>Проектирование студ.индивид.образов.: Моногр./С.И.Осипова-М.:НИЦ ИНФРА-М,СФУ,2024-140с(Науч.мысль)(о)</t>
  </si>
  <si>
    <t>ПРОЕКТИРОВАНИЕ СТУДЕНТОМ ИНДИВИДУАЛЬНОЙ ОБРАЗОВАТЕЛЬНОЙ ТРАЕКТОРИИ В УСЛОВИЯХ ИНФОРМАТИЗАЦИИ ОБРАЗОВАНИЯ</t>
  </si>
  <si>
    <t>Осипова С. И., Соловьева Т. В.</t>
  </si>
  <si>
    <t>978-5-16-006375-1</t>
  </si>
  <si>
    <t>768722.01.01</t>
  </si>
  <si>
    <t>Проектное обучение спец. по работе с молодежью: Моногр. / И.С.Крутько.-М.:НИЦ ИНФРА-М,2022.-246 с.(О)</t>
  </si>
  <si>
    <t>ПРОЕКТНОЕ ОБУЧЕНИЕ СПЕЦИАЛИСТОВ ПО РАБОТЕ С МОЛОДЕЖЬЮ</t>
  </si>
  <si>
    <t>Бедулева М.А., Боронина Л.Н., Зверева Е.В. и др.</t>
  </si>
  <si>
    <t>978-5-16-017407-5</t>
  </si>
  <si>
    <t>39.00.00, 39.04.03, 39.06.01, 39.07.01, 39.03.03</t>
  </si>
  <si>
    <t>Уральский федеральный университет им. первого Президента России Б.Н. Ельцина</t>
  </si>
  <si>
    <t>646046.04.01</t>
  </si>
  <si>
    <t>Проектно-организаторская функция воспит..: Моногр. / В.П.Сергеева-2изд.-М.:НИЦ ИНФРА-М,2023-128с.(О)</t>
  </si>
  <si>
    <t>ПРОЕКТНО-ОРГАНИЗАТОРСКАЯ ФУНКЦИЯ ВОСПИТАТЕЛЬНОЙ ДЕЯТЕЛЬНОСТИ УЧИТЕЛЯ (ТЕОРИЯ  И МЕТОДИКА), ИЗД.2</t>
  </si>
  <si>
    <t>978-5-16-012446-9</t>
  </si>
  <si>
    <t>675298.02.01</t>
  </si>
  <si>
    <t>Профессиология: психологический контент: Уч.пос. / Э.Ф.Зеер - М.:НИЦ ИНФРА-М,2020 - 194 с.(ВО)(П)</t>
  </si>
  <si>
    <t>ПРОФЕССИОЛОГИЯ: ПСИХОЛОГИЧЕСКИЙ КОНТЕНТ</t>
  </si>
  <si>
    <t>Зеер Э.Ф., Сыманюк Э.Э.</t>
  </si>
  <si>
    <t>978-5-16-014407-8</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</si>
  <si>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направлений 44.04.00 «Образование и педагогические науки» (квалификация (степень) «магистр») (протокол № 12 от 24.06.2019)</t>
  </si>
  <si>
    <t>681488.05.01</t>
  </si>
  <si>
    <t>Профессионализм педагога: успешность и карьера: Моногр. / Н.А.Глузман -М.:НИЦ ИНФРА-М,2023-314 с.(О)</t>
  </si>
  <si>
    <t>ПРОФЕССИОНАЛИЗМ ПЕДАГОГА: УСПЕШНОСТЬ И КАРЬЕРА</t>
  </si>
  <si>
    <t>Глузман Н.А., Горбунова Н.В.</t>
  </si>
  <si>
    <t>Научная мысль (КрымФУ)</t>
  </si>
  <si>
    <t>978-5-16-015830-3</t>
  </si>
  <si>
    <t>37.03.01, 44.04.02, 44.03.01, 44.03.05, 44.03.04, 44.03.03</t>
  </si>
  <si>
    <t>413050.09.01</t>
  </si>
  <si>
    <t>Профессиональная ориент. лиц с учетом: Уч.пос. / Е.М.Старобина -2изд.-М.:Форум,НИЦ ИНФРА-М,2023-352с(П)</t>
  </si>
  <si>
    <t>ПРОФЕССИОНАЛЬНАЯ ОРИЕНТАЦИЯ ЛИЦ С УЧЕТОМ ОГРАНИЧЕННЫХ ВОЗМОЖНОСТЕЙ ЗДОРОВЬЯ, ИЗД.2</t>
  </si>
  <si>
    <t>Старобина Е.М., Гордиевская Е.О., Кузьмина И.Е.</t>
  </si>
  <si>
    <t>978-5-00091-745-9</t>
  </si>
  <si>
    <t>37.03.01, 44.04.03, 44.03.02, 44.03.03</t>
  </si>
  <si>
    <t>Федеральный научный центр реабилитации инвалидов им. Г.А. Альбрехта</t>
  </si>
  <si>
    <t>674712.04.01</t>
  </si>
  <si>
    <t>Профессиональная самоидентификация личности: Моногр. / А.Г.Наймушина-М.:НИЦ ИНФРА-М,2022-76с(О)</t>
  </si>
  <si>
    <t>ПРОФЕССИОНАЛЬНАЯ САМОИДЕНТИФИКАЦИЯ ЛИЧНОСТИ</t>
  </si>
  <si>
    <t>Наймушина А.Г., Моложавенко В.Л.</t>
  </si>
  <si>
    <t>978-5-16-013655-4</t>
  </si>
  <si>
    <t>37.04.01, 44.04.02, 39.04.01, 44.04.01, 44.04.04, 38.04.03, 21.04.01, 21.05.06, 37.05.02, 21.05.05, 21.03.01</t>
  </si>
  <si>
    <t>437500.07.01</t>
  </si>
  <si>
    <t>Профессиональное обучение детей..: Уч.-мет. пос /М.В.Матвеева -Форум, НИЦ ИНФРА-М, 2024 -191с(ВО)(О)</t>
  </si>
  <si>
    <t>ПРОФЕССИОНАЛЬНОЕ ОБУЧЕНИЕ ДЕТЕЙ С ИНТЕЛЛЕКТУАЛЬНЫМИ НАРУШЕНИЯМИ В УСЛОВИЯХ ОБРАЗОВАТЕЛЬНОГО УЧРЕЖДЕНИЯ</t>
  </si>
  <si>
    <t>Матвеева М.В., Станпакова С.Д.</t>
  </si>
  <si>
    <t>978-5-00091-605-6</t>
  </si>
  <si>
    <t>Рекомендовано кафедрой логопедии ЛГУ им. А.С. Пушкина в качестве учебно-методического пособия для студентов высших учебных заведений, обучающихся по направлениям 44.03.03 «Специальное (дефектологическое) образование» (бакалавриат),по профилю подготовки «Логопедия» и 44.04.03 «Специальное (дефектологическое) образование» (магистратура)</t>
  </si>
  <si>
    <t>424450.06.01</t>
  </si>
  <si>
    <t>Профессионально-личностные  ориент. в совр. выс. образ.: Уч.пос./В.В.Рубцов - ИНФРА-М,2024-304с.(ВО) (п)</t>
  </si>
  <si>
    <t>ПРОФЕССИОНАЛЬНО-ЛИЧНОСТНЫЕ  ОРИЕНТАЦИИ В СОВРЕМЕННОМ ВЫСШЕМ ОБРАЗОВАНИИ</t>
  </si>
  <si>
    <t>Рубцов В. В., Столяренко А. М., Пузанов Ю. П., Рубцов В. В.</t>
  </si>
  <si>
    <t>978-5-16-006583-0</t>
  </si>
  <si>
    <t>44.04.02, 44.04.01, 44.04.04, 38.04.02, 38.03.02, 44.03.01, 44.03.05, 44.03.04</t>
  </si>
  <si>
    <t>457154.0055.01</t>
  </si>
  <si>
    <t>Профильная школа, 2023, № 4 (121)</t>
  </si>
  <si>
    <t>ПРОФИЛЬНАЯ ШКОЛА, 2023, № 4 (121)</t>
  </si>
  <si>
    <t>700701.05.01</t>
  </si>
  <si>
    <t>Профориентация и соц. обуч. со сложными наруш. развития: Уч.пос. / Ткачёва В.В.-М.:НИЦ ИНФРА-М,2024-198с(П)</t>
  </si>
  <si>
    <t>ПРОФОРИЕНТАЦИЯ И СОЦИАЛИЗАЦИЯ ОБУЧАЮЩИХСЯ СО СЛОЖНЫМИ НАРУШЕНИЯМИ РАЗВИТИЯ</t>
  </si>
  <si>
    <t>Ткачёва В.В., Евтушенко И.В., Жигорева М.В. и др.</t>
  </si>
  <si>
    <t>978-5-16-015004-8</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</si>
  <si>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44.03.01 «Педагогическое образование», 44.03.02 «Психолого-педагогическое образование», 44.03.03 «Специальное (дефектологическое) образование» (квалификация (степень) «бакалавр») (протокол № 18 от 25.11.2019)</t>
  </si>
  <si>
    <t>741929.03.01</t>
  </si>
  <si>
    <t>Профориентация и соц. обучающихся со слож. наруш. развит.: Уч.пос. / Ткачёва В.В.-М.:НИЦ ИНФРА-М,2024.-198 с.(П)</t>
  </si>
  <si>
    <t>978-5-16-016409-0</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</si>
  <si>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специальностям дефектологического профиля (протокол № 5 от 16.03.2020)</t>
  </si>
  <si>
    <t>148900.08.01</t>
  </si>
  <si>
    <t>Психодиагностика ребенка: Уч. / В.Г.Каменская - 2 изд.-М.:НИЦ ИНФРА-М,2023.-350 с.(ВО)(П)</t>
  </si>
  <si>
    <t>ПСИХОДИАГНОСТИКА РЕБЕНКА, ИЗД.2</t>
  </si>
  <si>
    <t>Каменская В.Г., Драганова О.А., Томанов Л.В.</t>
  </si>
  <si>
    <t>978-5-16-015132-8</t>
  </si>
  <si>
    <t>37.03.01, 37.04.01, 44.04.02, 44.05.01, 44.03.01, 44.03.05, 44.03.04, 44.03.02, 44.03.03</t>
  </si>
  <si>
    <t>Допущено Учебно-методическим объединением по направлениям педагогического образования в качестве учебника для студентов высших учебных заведений, обучающихся по направлению 44.03.01 «Педагогическое образование»</t>
  </si>
  <si>
    <t>148900.04.01</t>
  </si>
  <si>
    <t>Психодиагностика ребенка: Уч. / В.Г.Каменская и др.-М.:НИЦ ИНФРА-М,2018.-400 с-(ВО: Бакалавриат)(П)</t>
  </si>
  <si>
    <t>ПСИХОДИАГНОСТИКА РЕБЕНКА</t>
  </si>
  <si>
    <t>Каменская В. Г., Томанов Л. В., Драганова О. А.</t>
  </si>
  <si>
    <t>978-5-16-013454-3</t>
  </si>
  <si>
    <t>Допущено Учебно-методическим ¶объединением по направлениям педагогического образования в качестве учебника для студентов высших учебных заведений, обучающихся по направлению подготовки 44.03.01 «Педагогическое образование»</t>
  </si>
  <si>
    <t>638311.08.01</t>
  </si>
  <si>
    <t>Психокоррекционная работа с семьями детей...: Уч.мет.пос. /Ткачева В.В. - М.:НИЦ ИНФРА-М,2024 - 191сП)</t>
  </si>
  <si>
    <t>ПСИХОКОРРЕКЦИОННАЯ РАБОТА С СЕМЬЯМИ ДЕТЕЙ С ОГРАНИЧЕННЫМИ ВОЗМОЖНОСТЯМИ  ЗДОРОВЬЯ</t>
  </si>
  <si>
    <t>Ткачева В.В., Устинова Е.В., Болотова Н.П. и др.</t>
  </si>
  <si>
    <t>978-5-16-012626-5</t>
  </si>
  <si>
    <t>641123.03.01</t>
  </si>
  <si>
    <t>Психолог в материнской школе: Уч.пос. / Т.И.Чиркова - М.:Вуз. уч., НИЦ ИНФРА-М,2023 - 268с.(П)</t>
  </si>
  <si>
    <t>ПСИХОЛОГ В МАТЕРИНСКОЙ ШКОЛЕ</t>
  </si>
  <si>
    <t>Чиркова Т.И.</t>
  </si>
  <si>
    <t>978-5-9558-0132-2</t>
  </si>
  <si>
    <t>37.03.01, 37.04.01, 44.04.02, 44.04.01, 44.03.01, 44.03.05, 44.03.02, 44.03.03</t>
  </si>
  <si>
    <t>683168.03.01</t>
  </si>
  <si>
    <t>Психологическая готовность к действ. в чрезв. ситуац.: Уч.пос. / В.Д.Ширшов-М.:НИЦ ИНФРА-М,2023.-329 с.(ВО)(П)</t>
  </si>
  <si>
    <t>ПСИХОЛОГИЧЕСКАЯ ГОТОВНОСТЬ К ДЕЙСТВИЯМ В ЧРЕЗВЫЧАЙНЫХ СИТУАЦИЯХ</t>
  </si>
  <si>
    <t>978-5-16-018634-4</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</si>
  <si>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44.03.00 «Образование и педагогические науки» (квалификация (степень) «бакалавр») (протокол № 2 от 03.02.2020)</t>
  </si>
  <si>
    <t>391200.07.01</t>
  </si>
  <si>
    <t>Психологическая помощь в спец.обр.: Уч. / И.Ю.Левченко-М.:НИЦ ИНФРА-М,2023-314с.(ВО: Бакалавр.)(П)</t>
  </si>
  <si>
    <t>ПСИХОЛОГИЧЕСКАЯ ПОМОЩЬ В СПЕЦИАЛЬНОМ ОБРАЗОВАНИИ</t>
  </si>
  <si>
    <t>Левченко И.Ю., Волковская Т.Н., Ковалева Г.А.</t>
  </si>
  <si>
    <t>978-5-16-011199-5</t>
  </si>
  <si>
    <t>Рекомендовано в качестве учебника для студентов высших учебных заведений, обучающихся по направлениям подготовки 44.03.02 «Психолого-педагогическое образование», 44.03.03 «Специальное (дефектологическое) образование» (квалификация (степень) «бакалавр»)</t>
  </si>
  <si>
    <t>645377.04.01</t>
  </si>
  <si>
    <t>Психологическая фасилит. раб. шк. учителя: Уч.пос./Р.В.Овчарова,-2изд.-М.:ИЦ РИОР, НИЦ ИНФРА-М,2023-275с</t>
  </si>
  <si>
    <t>ПСИХОЛОГИЧЕСКАЯ ФАСИЛИТАЦИЯ РАБОТЫ ШКОЛЬНОГО УЧИТЕЛЯ, ИЗД.2</t>
  </si>
  <si>
    <t>Овчарова Р.В.</t>
  </si>
  <si>
    <t>978-5-369-01647-3</t>
  </si>
  <si>
    <t>37.03.01, 37.04.01, 44.04.01, 44.03.01, 44.03.05</t>
  </si>
  <si>
    <t>Курганский государственный университет</t>
  </si>
  <si>
    <t>639924.07.01</t>
  </si>
  <si>
    <t>Психологические типы: Моногр. / С.Ю.Поройков - 2 изд. - М.:НИЦ ИНФРА-М,2024 - 306 с.-(Науч.мысль)(П)</t>
  </si>
  <si>
    <t>ПСИХОЛОГИЧЕСКИЕ ТИПЫ, ИЗД.2</t>
  </si>
  <si>
    <t>Поройков С.Ю.</t>
  </si>
  <si>
    <t>978-5-16-012255-7</t>
  </si>
  <si>
    <t>37.03.01, 37.05.01</t>
  </si>
  <si>
    <t>300200.06.01</t>
  </si>
  <si>
    <t>Психологические типы: Монография / С.Ю.Поройков - М.:НИЦ ИНФРА-М,2022 - 262 с.-(Науч.мысль)(п)</t>
  </si>
  <si>
    <t>ПСИХОЛОГИЧЕСКИЕ ТИПЫ</t>
  </si>
  <si>
    <t>978-5-16-010153-8</t>
  </si>
  <si>
    <t>698472.07.01</t>
  </si>
  <si>
    <t>Психологический профайлинг. Практикум: Уч.пос. / Т.В.Мальцева-М.:ИЦ РИОР, НИЦ ИНФРА-М,2024-95с(ВО)(О)</t>
  </si>
  <si>
    <t>ПСИХОЛОГИЧЕСКИЙ ПРОФАЙЛИНГ</t>
  </si>
  <si>
    <t>Мальцева Т.В., Петров В.Е.</t>
  </si>
  <si>
    <t>978-5-369-01856-9</t>
  </si>
  <si>
    <t>40.05.04, 40.03.01, 40.04.01, 40.05.01, 40.05.02, 40.05.03</t>
  </si>
  <si>
    <t>Академия управления Министерства внутренних дел Российской Федерации</t>
  </si>
  <si>
    <t>666975.06.01</t>
  </si>
  <si>
    <t>Психологическое консульт. личности...: Уч.пос./Т.В.Мальцева -М.:ИЦ РИОР,НИЦ ИНФРА-М,2024-136с.(ВО)(О)</t>
  </si>
  <si>
    <t>ПСИХОЛОГИЧЕСКОЕ КОНСУЛЬТИРОВАНИЕ ЛИЧНОСТИ В ПРОЦЕССЕ ПРОФЕССИОНАЛИЗАЦИИ</t>
  </si>
  <si>
    <t>Мальцева Т.В., Реуцкая И.Е., Петров В.Е.</t>
  </si>
  <si>
    <t>978-5-369-01836-1</t>
  </si>
  <si>
    <t>37.05.02, 44.05.01</t>
  </si>
  <si>
    <t>665058.04.01</t>
  </si>
  <si>
    <t>Психология в медицине: Уч.пос. / Г.С.Абрамова - 2 изд. - М.:НИЦ ИНФРА-М,2023 - 273 с.-(ВО: Спец.)(П)</t>
  </si>
  <si>
    <t>ПСИХОЛОГИЯ В МЕДИЦИНЕ, ИЗД.2</t>
  </si>
  <si>
    <t>Абрамова Г.С., Юдчиц Ю.А.</t>
  </si>
  <si>
    <t>978-5-16-013836-7</t>
  </si>
  <si>
    <t>31.02.01, 37.05.01, 31.05.01, 31.05.02, 34.03.01</t>
  </si>
  <si>
    <t>Рекомендовано в качестве учебного пособия для студентов высших учебных заведений, обучающихся по направлениям подготовки 31.05.01 «Лечебное дело» (квалификация «врач общей практики»), 31.05.02 «Педиатрия» (квалификация  «врач-педиатр общей практики»), 37.05.01 «Клиническая психология» (квалификация «клинический психолог»)</t>
  </si>
  <si>
    <t>363400.08.01</t>
  </si>
  <si>
    <t>Психология воспитания стрес. поведения: Уч.пос./ Н.П.Фетискин-М.:Форум, НИЦ ИНФРА-М,2024-240с(ВО)(о)</t>
  </si>
  <si>
    <t>ПСИХОЛОГИЯ ВОСПИТАНИЯ СТРЕССОСОВЛАДАЮЩЕГО ПОВЕДЕНИЯ</t>
  </si>
  <si>
    <t>978-5-00091-483-0</t>
  </si>
  <si>
    <t>Рекомендовано в качестве учебного пособия для студентов высших учебных заведений, обучающихся по направлениям подготовки 37.03.01 «Психология», 37.03.02 «Конфликтология» (квалификация (степень) «бакалавр»)</t>
  </si>
  <si>
    <t>443050.10.01</t>
  </si>
  <si>
    <t>Психология высших достижений личности..: Моногр. / Т.Ф.Базылевич-М.:НИЦ ИНФРА-М,2024-330 с.(Науч.мысль)(О)</t>
  </si>
  <si>
    <t>ПСИХОЛОГИЯ ВЫСШИХ ДОСТИЖЕНИЙ ЛИЧНОСТИ (ПСИХОАКМЕОЛОГИЯ)</t>
  </si>
  <si>
    <t>978-5-16-006851-0</t>
  </si>
  <si>
    <t>37.03.01, 37.04.01, 37.04.02, 37.05.02, 37.05.01, 37.03.02, 44.03.01, 44.03.05</t>
  </si>
  <si>
    <t>283000.02.01</t>
  </si>
  <si>
    <t>Психология гуманитарного познания: монография / И.Е.Лукьянова-М.:НИЦ ИНФРА-М,2018.-186 с..-(Науч.мысль)(П 7БЦ)</t>
  </si>
  <si>
    <t>ПСИХОЛОГИЯ ГУМАНИТАРНОГО ПОЗНАНИЯ</t>
  </si>
  <si>
    <t>Лукьянова И.Е., Сигида Е.А.</t>
  </si>
  <si>
    <t>978-5-16-011808-6</t>
  </si>
  <si>
    <t>666532.03.01</t>
  </si>
  <si>
    <t>Психология дошкольника: прак.: Уч.пос. / Г.А.Урунтаева - 4 изд. - М.:НИЦ ИНФРА-М,2024 - 401 с.(ВО)(п)</t>
  </si>
  <si>
    <t>ПСИХОЛОГИЯ ДОШКОЛЬНИКА: ПРАКТИКУМ, ИЗД.4</t>
  </si>
  <si>
    <t>978-5-16-019435-6</t>
  </si>
  <si>
    <t>44.03.02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</si>
  <si>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44.03.02 «Психолого-педагогическое образование» (квалификация (степень) «бакалавр») (протокол № 10 от 12.10.2020)</t>
  </si>
  <si>
    <t>758048.04.01</t>
  </si>
  <si>
    <t>Психология дошкольника: практикум: Уч.пос. / Г.А.Урунтаева - 4 изд. - М.:НИЦ ИНФРА-М,2024 - 401 с(СПО)(П)</t>
  </si>
  <si>
    <t>978-5-16-016967-5</t>
  </si>
  <si>
    <t>44.02.01, 44.02.03, 44.02.04</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</si>
  <si>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специальности 44.02.01 «Дошкольное образование» (протокол № 12 от 14.12.2020)</t>
  </si>
  <si>
    <t>183300.10.01</t>
  </si>
  <si>
    <t>Психология зависимостей (аддиктология): Уч.пос. / Б.Р.Мандель, - 2 изд.-М.:НИЦ ИНФРА-М,2023.-334 с.(ВО)(П)</t>
  </si>
  <si>
    <t>ПСИХОЛОГИЯ ЗАВИСИМОСТЕЙ (АДДИКТОЛОГИЯ), ИЗД.2</t>
  </si>
  <si>
    <t>978-5-16-015955-3</t>
  </si>
  <si>
    <t>37.03.01, 44.04.02, 44.04.03, 44.03.02, 44.03.03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</si>
  <si>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37.00.00 «Психологические науки», 44.00.00 «Образование и педагогические науки» (квалификация (степень) «бакалавр») и 31.05.00 «Клиническая медицина» (протокол № 19 от 09.12.2019)</t>
  </si>
  <si>
    <t>183300.06.01</t>
  </si>
  <si>
    <t>Психология зависимостей (аддиктология):Уч.пос. / Б.Р.Мандель-М.:Вузовский учебник, НИЦ ИНФРА-М,2019.-320 с.(п)</t>
  </si>
  <si>
    <t>ПСИХОЛОГИЯ ЗАВИСИМОСТЕЙ (АДДИКТОЛОГИЯ)</t>
  </si>
  <si>
    <t>978-5-9558-0406-4</t>
  </si>
  <si>
    <t>085750.12.01</t>
  </si>
  <si>
    <t>Психология и педагогика: Уч. / А.И.Кравченко-М.:НИЦ ИНФРА-М,2024.-352 с..-(ВО)(п)</t>
  </si>
  <si>
    <t>ПСИХОЛОГИЯ И ПЕДАГОГИКА</t>
  </si>
  <si>
    <t>Кравченко А. И.</t>
  </si>
  <si>
    <t>978-5-16-019278-9</t>
  </si>
  <si>
    <t>Допущено УМО по классическому университетскому образованию в качестве учебника для студентов высших учебных  заведений, обучающихся по направлению 39.03.01 "Социология"</t>
  </si>
  <si>
    <t>116750.08.01</t>
  </si>
  <si>
    <t>Психология и педагогика: Уч.пос. / А.И.Кравченко -М.:ИЦ РИОР,НИЦ ИНФРА-М,2024-112с.(ВО:Бакалавр.)(о)</t>
  </si>
  <si>
    <t>978-5-369-00544-6</t>
  </si>
  <si>
    <t>00.05.15, 00.03.15, 39.03.01</t>
  </si>
  <si>
    <t>Допущено УМО по классическому университетскому образованию в качестве учебного пособия для студентов вузов, обучающихся по направлению 040200 "Социология"</t>
  </si>
  <si>
    <t>405850.07.01</t>
  </si>
  <si>
    <t>Психология и педагогика: Уч.пос. / О.В.Пастюк - М.:НИЦ ИНФРА-М,2023. - 160 с.-(ВО: Бакалавриат)(П)</t>
  </si>
  <si>
    <t>Пастюк О.В.</t>
  </si>
  <si>
    <t>978-5-16-006300-3</t>
  </si>
  <si>
    <t>00.05.15, 00.03.15, 42.03.01, 38.03.06, 38.03.02, 39.03.02</t>
  </si>
  <si>
    <t>Рекомендовано в качестве учебного пособия для студентов высших учебных заведений, обучающихся по направлениям подготовки 38.03.02 «Менеджмент», 42.03.01 «Реклама и связи с общественностью», 38.03.06 «Торговое дело» (квалификация (степень) «бакалавр»)</t>
  </si>
  <si>
    <t>Северо-Восточный государственный университет</t>
  </si>
  <si>
    <t>061950.17.01</t>
  </si>
  <si>
    <t>Психология и педагогика: Уч.пос. / Э.В.Островский - 2 изд. - М.:Вуз.уч., НИЦ ИНФРА-М,2021 - 368с.(П)</t>
  </si>
  <si>
    <t>ПСИХОЛОГИЯ И ПЕДАГОГИКА, ИЗД.2</t>
  </si>
  <si>
    <t>Островский Э. В., Чернышова Л. И.</t>
  </si>
  <si>
    <t>978-5-9558-0538-2</t>
  </si>
  <si>
    <t>Допущено Мин. обр. и науки РФ в качестве учебного пособия для студентов высших учебных заведений, обучающихся по экономическим специальностям</t>
  </si>
  <si>
    <t>094140.03.01</t>
  </si>
  <si>
    <t>Психология и педагогика: Шпаргалка. - М.: РИОР, . - 127 с. - (Шпаргалка [отрывная])(О)</t>
  </si>
  <si>
    <t>978-5-369-00274-2</t>
  </si>
  <si>
    <t>471900.06.01</t>
  </si>
  <si>
    <t>Психология и психопат. познав. деят.: Уч.пос. /Г.Н.Носачев -М.: Форум, НИЦ ИНФРА-М, 2023-240с(ВО)(О)</t>
  </si>
  <si>
    <t>ПСИХОЛОГИЯ И ПСИХОПАТОЛОГИЯ ПОЗНАВАТЕЛЬНОЙ ДЕЯТЕЛЬНОСТИ (ОСНОВНЫЕ СИМПТОМЫ И СИНДРОМЫ)</t>
  </si>
  <si>
    <t>Носачев Г.Н., Носачев И.Г.</t>
  </si>
  <si>
    <t>978-5-00091-609-4</t>
  </si>
  <si>
    <t>37.03.01, 37.05.01, 31.05.01</t>
  </si>
  <si>
    <t>Рекомендовано в качестве учебного пособия для студентов высших учебных заведений, обучающихся по направлению подготовки «Психология»</t>
  </si>
  <si>
    <t>Национальный медицинский исследовательский центр психиатрии и наркологии им. В.П. Сербского</t>
  </si>
  <si>
    <t>487500.05.01</t>
  </si>
  <si>
    <t>Психология личности и деятел. педагога: Уч.пос. / С.В.Духновский-М.:ИЦ РИОР,НИЦ ИНФРА-М,2024-300(ВО)</t>
  </si>
  <si>
    <t>ПСИХОЛОГИЯ ЛИЧНОСТИ И ДЕЯТЕЛЬНОСТИ ПЕДАГОГА</t>
  </si>
  <si>
    <t>Духновский С.В.</t>
  </si>
  <si>
    <t>978-5-369-01537-7</t>
  </si>
  <si>
    <t>37.03.01, 44.04.02</t>
  </si>
  <si>
    <t>271900.08.01</t>
  </si>
  <si>
    <t>Психология личности: Уч. / П.С. Гуревич - 2 изд. - М.: НИЦ ИНФРА-М, 2023-479с.(ВО)(п)</t>
  </si>
  <si>
    <t>ПСИХОЛОГИЯ ЛИЧНОСТИ, ИЗД.2</t>
  </si>
  <si>
    <t>978-5-16-009672-8</t>
  </si>
  <si>
    <t>0215</t>
  </si>
  <si>
    <t>482350.08.01</t>
  </si>
  <si>
    <t>Психология массового поведения: Монография / В.А.Соснин - М.:Форум, НИЦ ИНФРА-М,2024 - 159 с.(о)</t>
  </si>
  <si>
    <t>ПСИХОЛОГИЯ МАССОВОГО ПОВЕДЕНИЯ</t>
  </si>
  <si>
    <t>Соснин В.А.</t>
  </si>
  <si>
    <t>978-5-00091-003-0</t>
  </si>
  <si>
    <t>651246.04.01</t>
  </si>
  <si>
    <t>Психология массовых коммуникаций: Уч. / А.М.Руденко-М.:ИЦ РИОР, НИЦ ИНФРА-М,2023-303 с.(ВО)(п)</t>
  </si>
  <si>
    <t>ПСИХОЛОГИЯ МАССОВЫХ КОММУНИКАЦИЙ</t>
  </si>
  <si>
    <t>Руденко А.М., Литвинова А.В.</t>
  </si>
  <si>
    <t>978-5-369-01663-3</t>
  </si>
  <si>
    <t>42.03.01, 41.03.06</t>
  </si>
  <si>
    <t>Донской государственный технический университет, ф-л Институт сферы обслуживания и предпринимательст</t>
  </si>
  <si>
    <t>639469.06.01</t>
  </si>
  <si>
    <t>Психология межнациональных отношений: Курс лекций / В.Г.Крысько - 2 изд. - М.:Вуз.уч.,НИЦ ИНФРА-М,2024-228 с.(П)</t>
  </si>
  <si>
    <t>ПСИХОЛОГИЯ МЕЖНАЦИОНАЛЬНЫХ ОТНОШЕНИЙ, ИЗД.2</t>
  </si>
  <si>
    <t>978-5-9558-0525-2</t>
  </si>
  <si>
    <t>Курс лекций</t>
  </si>
  <si>
    <t>37.03.01, 37.04.01, 41.04.01, 51.03.02</t>
  </si>
  <si>
    <t>641989.04.01</t>
  </si>
  <si>
    <t>Психология обучения и воспитания: Моногр. / Под ред. Кондратьева С.В. - М.:НИЦ ИНФРА-М,2022 - 256 с.(П)</t>
  </si>
  <si>
    <t>ПСИХОЛОГИЯ ОБУЧЕНИЯ И ВОСПИТАНИЯ: ГУМАНИТАРНАЯ ХРИСТИАНСКАЯ ПАРАДИГМА</t>
  </si>
  <si>
    <t>Карпиков А.А., Кондратьев С.В., Кондратьев С.В.</t>
  </si>
  <si>
    <t>978-5-16-012719-4</t>
  </si>
  <si>
    <t>Дополнительное образование</t>
  </si>
  <si>
    <t>37.03.01, 44.04.02, 44.03.05</t>
  </si>
  <si>
    <t>705966.07.01</t>
  </si>
  <si>
    <t>Психология общения. Практ.по психолог.: Уч.пос. / Н.С.Ефимова-М.:ИД ФОРУМ, НИЦ ИНФРА-М,2023-192с(ВО)</t>
  </si>
  <si>
    <t>ПСИХОЛОГИЯ ОБЩЕНИЯ. ПРАКТИКУМ ПО ПСИХОЛОГИИ</t>
  </si>
  <si>
    <t>978-5-8199-0881-5</t>
  </si>
  <si>
    <t>43.02.08, 15.02.10, 43.02.15, 43.02.14, 43.02.12, 43.02.13, 27.02.06, 12.02.09, 09.02.06</t>
  </si>
  <si>
    <t>Рекомендовано Учебно-методическим советом ВО в качестве учебного пособия для студентов высших учебных заведений, обучающихся по укрупненной группе специальностей 44.03.00 «Образование и педагогические науки» (квалификация (степень) «бакалавр»)</t>
  </si>
  <si>
    <t>23</t>
  </si>
  <si>
    <t>071870.18.01</t>
  </si>
  <si>
    <t>Психология общения. Практ.по психолог.: Уч.пос./Н.С.Ефимова-М.:ИД ФОРУМ,НИЦ ИНФРА-М,2023-192с(СПО)(П)</t>
  </si>
  <si>
    <t>978-5-8199-0693-4</t>
  </si>
  <si>
    <t>05.02.02, 31.02.01, 15.02.10, 29.02.09, 12.02.09, 12.02.10, 00.02.15, 00.01.04</t>
  </si>
  <si>
    <t>Допущено Министерством образования РФ в качестве учебного пособия для студентов  учреждений среднего профессионального образования, обучающихся по группе специальностей "Образование и педагогические науки"</t>
  </si>
  <si>
    <t>0106</t>
  </si>
  <si>
    <t>664241.06.01</t>
  </si>
  <si>
    <t>Психология отношений на раб.: Практ.пос. / И.А.Шувалова - М.:ИЦ РИОР, НИЦ ИНФРА-М,2023-176с(Наука и прак.)(П)</t>
  </si>
  <si>
    <t>ПСИХОЛОГИЯ ОТНОШЕНИЙ НА РАБОТЕ</t>
  </si>
  <si>
    <t>Шувалова И.А.</t>
  </si>
  <si>
    <t>978-5-369-01738-8</t>
  </si>
  <si>
    <t>43.02.10, 35.02.12, 38.02.07, 38.02.03, 37.03.01, 43.03.02, 43.03.03, 37.05.01, 44.03.01, 44.03.05</t>
  </si>
  <si>
    <t>Академия труда и социальных отношений</t>
  </si>
  <si>
    <t>639844.05.01</t>
  </si>
  <si>
    <t>Психология познавательных процессов: Уч.пос./ З.А.Киреева-М.:ИЦ РИОР, НИЦ ИНФРА-М,2023.-137 с.(О)</t>
  </si>
  <si>
    <t>ПСИХОЛОГИЯ ПОЗНАВАТЕЛЬНЫХ ПРОЦЕССОВ</t>
  </si>
  <si>
    <t>Киреева З.А.</t>
  </si>
  <si>
    <t>978-5-369-01613-8</t>
  </si>
  <si>
    <t>37.03.01, 44.03.05, 44.03.04</t>
  </si>
  <si>
    <t>726499.02.01</t>
  </si>
  <si>
    <t>Психология познания дошк. в проф.-педагог. деят... / Г.А.Урунтаева - М.:НИЦ ИНФРА-М,2022 - 215 с.(О)</t>
  </si>
  <si>
    <t>ПСИХОЛОГИЯ ПОЗНАНИЯ ДОШКОЛЬНИКА В ПРОФЕССИОНАЛЬНО-ПЕДАГОГИЧЕСКОЙ ДЕЯТЕЛЬНОСТИ ВОСПИТАТЕЛЯ</t>
  </si>
  <si>
    <t>Урунтаева Г.А., Гошева Е.Н.</t>
  </si>
  <si>
    <t>978-5-16-015994-2</t>
  </si>
  <si>
    <t>275000.07.01</t>
  </si>
  <si>
    <t>Психология потребител. поведения...: Уч.пос. / Н.В.Антонова - М.: НИЦ ИНФРА-М, 2024 - 325с.(ВО)(П)</t>
  </si>
  <si>
    <t>ПСИХОЛОГИЯ ПОТРЕБИТЕЛЬСКОГО ПОВЕДЕНИЯ, РЕКЛАМЫ И PR</t>
  </si>
  <si>
    <t>Антонова Н.В., Патоша О.И.</t>
  </si>
  <si>
    <t>978-5-16-011795-9</t>
  </si>
  <si>
    <t>37.03.01, 42.03.01, 42.04.01, 37.04.01, 38.04.02, 38.03.02</t>
  </si>
  <si>
    <t>Рекомендовано в качестве учебного пособия для студентов высших учебных заведений, обучающихся по направлениям подготовки 37.04.01 «Психология», 42.04.01 «Реклама и связи с общественностью», 38.04.02 «Менеджмент» (квалификация (степень) «магистр»)</t>
  </si>
  <si>
    <t>657341.04.01</t>
  </si>
  <si>
    <t>Психология развития и возрастная психология: Уч.пос. / Е.Е.Сапогова - 2 изд. - М.:НИЦ ИНФРА-М,2024 - 638 с.(П)</t>
  </si>
  <si>
    <t>ПСИХОЛОГИЯ РАЗВИТИЯ И ВОЗРАСТНАЯ ПСИХОЛОГИЯ, ИЗД.2</t>
  </si>
  <si>
    <t>978-5-16-018823-2</t>
  </si>
  <si>
    <t>37.03.01, 44.04.01, 37.05.02, 37.05.01, 44.03.01, 44.03.05</t>
  </si>
  <si>
    <t>473650.03.01</t>
  </si>
  <si>
    <t>Психология разрушения: Моногр. / Т.И.Чиркова - М.: Вуз. уч.: НИЦ ИНФРА-М,2023-192с.(Науч. книга) (о)</t>
  </si>
  <si>
    <t>ПСИХОЛОГИЯ РАЗРУШЕНИЯ</t>
  </si>
  <si>
    <t>978-5-9558-0385-2</t>
  </si>
  <si>
    <t>727258.01.01</t>
  </si>
  <si>
    <t>Психология разрушения: Уч.пос. / Т.И.Чиркова - М.:НИЦ ИНФРА-М,2021 - 230 с.(ВО: Магистратура)(П)</t>
  </si>
  <si>
    <t>978-5-16-016099-3</t>
  </si>
  <si>
    <t>47.04.01, 37.04.01, 37.05.02, 37.05.01</t>
  </si>
  <si>
    <t>742521.03.01</t>
  </si>
  <si>
    <t>Психология региональных выборов: Монография / И.В.Грошев.-М.:НИЦ ИНФРА-М,2023.-251 с.(Науч.мысль)(О)</t>
  </si>
  <si>
    <t>ПСИХОЛОГИЯ РЕГИОНАЛЬНЫХ ВЫБОРОВ: КАНДИДАТЫ И ИЗБИРАТЕЛИ</t>
  </si>
  <si>
    <t>Грошев И.В., Горбенко А.В., Давыдова Ю.А.</t>
  </si>
  <si>
    <t>978-5-16-016484-7</t>
  </si>
  <si>
    <t>41.04.04, 39.04.01, 39.06.01, 41.06.01</t>
  </si>
  <si>
    <t>083840.10.01</t>
  </si>
  <si>
    <t>Психология рекламы: Уч. пос./ М.И. Тимофеев. - 2 изд. - М.: РИОР: ИНФРА-М, 2023. - 224 с. (ВПО)</t>
  </si>
  <si>
    <t>ПСИХОЛОГИЯ РЕКЛАМЫ, ИЗД.2</t>
  </si>
  <si>
    <t>Тимофеев М. И.</t>
  </si>
  <si>
    <t>978-5-369-01373-1</t>
  </si>
  <si>
    <t>42.03.01, 42.04.05, 42.04.01, 38.04.02, 42.03.05, 38.03.06, 38.03.02, 41.03.06</t>
  </si>
  <si>
    <t>Национальный институт бизнеса</t>
  </si>
  <si>
    <t>239100.07.01</t>
  </si>
  <si>
    <t>Психология рекламы: Уч.пос. / Е.В.Маркова - М.:Форум, НИЦ ИНФРА-М,2023 - 152 с.(О)</t>
  </si>
  <si>
    <t>ПСИХОЛОГИЯ РЕКЛАМЫ</t>
  </si>
  <si>
    <t>Маркова Е.В.</t>
  </si>
  <si>
    <t>978-5-91134-815-1</t>
  </si>
  <si>
    <t>37.03.01, 42.03.01, 42.03.05, 38.03.01, 38.03.02, 42.03.04</t>
  </si>
  <si>
    <t>Рекомендовано в качестве учебного пособия для студентов высших учебных заведений, обучающихся по специальностям «Организационная психология и менеджмент», «Консультационная психология», «Социальная и политическая психология»</t>
  </si>
  <si>
    <t>Ярославский государственный университет им. П.Г. Демидова</t>
  </si>
  <si>
    <t>795915.01.01</t>
  </si>
  <si>
    <t>Психология русского народа: Моногр. / Д.А.Севостьянов-М.:НИЦ ИНФРА-М,2023.-356 с.(Науч.мысль)(п)</t>
  </si>
  <si>
    <t>ПСИХОЛОГИЯ РУССКОГО НАРОДА</t>
  </si>
  <si>
    <t>Севостьянов Д.А.</t>
  </si>
  <si>
    <t>978-5-16-018304-6</t>
  </si>
  <si>
    <t>39.04.03, 47.04.01, 41.04.04, 37.04.01, 41.04.05, 41.04.02, 39.04.01, 37.04.02, 37.06.01, 39.06.01, 41.06.01, 47.06.01, 39.07.01, 41.07.01, 47.07.01, 41.04.06</t>
  </si>
  <si>
    <t>Новосибирский государственный медицинский университет</t>
  </si>
  <si>
    <t>444950.11.01</t>
  </si>
  <si>
    <t>Психология самопрезентации личности: Моногр. / О.А.Пикулева - М.:НИЦ ИНФРА-М,2024 - 320 с.(Науч.мысль)(П)</t>
  </si>
  <si>
    <t>ПСИХОЛОГИЯ САМОПРЕЗЕНТАЦИИ ЛИЧНОСТИ</t>
  </si>
  <si>
    <t>Пикулева О.А.</t>
  </si>
  <si>
    <t>978-5-16-006926-5</t>
  </si>
  <si>
    <t>37.03.01, 42.03.01, 42.04.01, 38.04.03, 38.03.01, 38.03.03, 41.03.06</t>
  </si>
  <si>
    <t>329000.10.01</t>
  </si>
  <si>
    <t>Психология семьи. Основы супружеского консульт..: Уч.пос. / Е.В.Змановская-М.:НИЦ ИНФРА-М,2024.-378с(П)</t>
  </si>
  <si>
    <t>ПСИХОЛОГИЯ СЕМЬИ. ОСНОВЫ СУПРУЖЕСКОГО КОНСУЛЬТИРОВАНИЯ И СЕМЕЙНОЙ ПСИХОТЕРАПИИ</t>
  </si>
  <si>
    <t>Змановская Е.В.</t>
  </si>
  <si>
    <t>978-5-16-011851-2</t>
  </si>
  <si>
    <t>37.03.01, 37.04.01, 44.04.02, 37.05.01, 38.03.01, 44.03.05, 44.03.02</t>
  </si>
  <si>
    <t>Рекомендовано в качестве учебного пособия для студентов высших учебных заведений, обучающихся по направлениям подготовки 37.03.01 «Психология» (квалификация (степень) «бакалавр») и 37.04.01 «Психология» (квалификация (степень) «магистр»)</t>
  </si>
  <si>
    <t>Санкт-Петербургский государственный институт психологии и социальной работы</t>
  </si>
  <si>
    <t>185050.11.01</t>
  </si>
  <si>
    <t>Психология суицидального терроризма...:Моногр./ Под ред. Журавлева А.Л.-М.:Форум, НИЦ ИНФРА-М,2023-256с.(О)</t>
  </si>
  <si>
    <t>ПСИХОЛОГИЯ СУИЦИДАЛЬНОГО ТЕРРОРИЗМА: ИСТОРИЧЕСКИЕ АНАЛОГИИ И ГЕОПОЛИТИЧЕСКИЕ ТЕНДЕНЦИИ В XXI ВЕКЕ</t>
  </si>
  <si>
    <t>Соснин В. А., Журавлев А. Л.</t>
  </si>
  <si>
    <t>978-5-00091-643-8</t>
  </si>
  <si>
    <t>642517.06.01</t>
  </si>
  <si>
    <t>Психология творческого мышления: Уч.пос. / М.М.Кашапов-М.:НИЦ ИНФРА-М,2023.-436 с.(ВО)(п)</t>
  </si>
  <si>
    <t>ПСИХОЛОГИЯ ТВОРЧЕСКОГО МЫШЛЕНИЯ</t>
  </si>
  <si>
    <t>Кашапов М.М.</t>
  </si>
  <si>
    <t>978-5-16-019262-8</t>
  </si>
  <si>
    <t>37.03.01, 37.04.01, 44.04.02, 44.04.01, 44.04.04, 44.03.01, 44.03.05, 44.03.04, 44.03.02</t>
  </si>
  <si>
    <t>Рекомендовано в качестве учебного пособия для студентов высших учебных заведений, обучающихся по направлениям подготовки 37.03.01 «Психология» (квалификация (степень) «бакалавр»), 44.04.04 «Профессиональное обучение» (квалификация (степень) «магистр»)</t>
  </si>
  <si>
    <t>185800.11.01</t>
  </si>
  <si>
    <t>Психология эмоции. Классические..: Уч.пос. / Ю.Е.Кравченко-М.:Форум, НИЦ ИНФРА-М,2024.-544 с.(ВО)(п)</t>
  </si>
  <si>
    <t>ПСИХОЛОГИЯ ЭМОЦИИ. КЛАССИЧЕСКИЕ И СОВРЕМЕННЫЕ ТЕОРИИ И ИССЛЕДОВАНИЯ</t>
  </si>
  <si>
    <t>Кравченко Ю.Е.</t>
  </si>
  <si>
    <t>978-5-00091-799-2</t>
  </si>
  <si>
    <t>37.03.01, 37.04.01, 37.04.02, 37.05.02, 37.05.01, 37.03.02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</si>
  <si>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направлений 37.00.00 «Психологические науки» (квалификация (степень) «бакалавр») (протокол № 5 от 11.03.2019)</t>
  </si>
  <si>
    <t>Российский государственный гуманитарный университет РГГУ</t>
  </si>
  <si>
    <t>407300.10.01</t>
  </si>
  <si>
    <t>Психология. Курс лекций: Уч.пос. / В.Г.Крысько - М.:Вуз. уч.,НИЦ ИНФРА-М,2023 - 251 с.(П)</t>
  </si>
  <si>
    <t>ПСИХОЛОГИЯ. КУРС ЛЕКЦИЙ</t>
  </si>
  <si>
    <t>978-5-9558-0249-7</t>
  </si>
  <si>
    <t>719348.03.01</t>
  </si>
  <si>
    <t>Психология. Курс лекций: Уч.пос. / В.Г.Крысько-М.:Вуз. уч., НИЦ ИНФРА-М,2023-251 с.(СПО)(П)</t>
  </si>
  <si>
    <t>978-5-9558-0638-9</t>
  </si>
  <si>
    <t>270400.08.01</t>
  </si>
  <si>
    <t>Психология: Уч. / П.С. Гуревич. - 2 изд. - М.: НИЦ ИНФРА-М, 2023. - 332 с.(ВО:Бакалавр.)(п)</t>
  </si>
  <si>
    <t>ПСИХОЛОГИЯ, ИЗД.2</t>
  </si>
  <si>
    <t>978-5-16-009651-3</t>
  </si>
  <si>
    <t>31.02.01, 37.03.01, 37.05.02, 37.05.01, 37.03.02</t>
  </si>
  <si>
    <t>071690.08.01</t>
  </si>
  <si>
    <t>Психология: Шпаргалка - 2 изд. - М.:ИЦ РИОР - 161 с.-(Шпаргалка [отрывная])(О)</t>
  </si>
  <si>
    <t>978-5-369-01598-8</t>
  </si>
  <si>
    <t>37.03.01, 46.03.01, 44.03.05, 44.03.04</t>
  </si>
  <si>
    <t>640360.05.01</t>
  </si>
  <si>
    <t>Психолого-педагог. поддержка  семьи ребенка с...: Уч. / Е.А.Стребелева-М.:НИЦ ИНФРА-М,2023.-184 с.(П)</t>
  </si>
  <si>
    <t>ПСИХОЛОГО-ПЕДАГОГИЧЕСКАЯ ПОДДЕРЖКА  СЕМЬИ РЕБЕНКА С ОГРАНИЧЕННЫМИ ВОЗМОЖНОСТЯМИ ЗДОРОВЬЯ</t>
  </si>
  <si>
    <t>Стребелева Е.А., Мишина Г.А.</t>
  </si>
  <si>
    <t>978-5-16-018799-0</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</si>
  <si>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направлениям подготовки 44.03.02 «Психолого-педагогическое образование», 44.03.03 «Специальное (дефектологическое) образование» (квалификация (степень) «бакалавр») (протокол № 13 от 16.09.2019)</t>
  </si>
  <si>
    <t>479400.07.01</t>
  </si>
  <si>
    <t>Психолого-педагог. сопровожд. образ. процесса:Уч.пос./Б.Р.Мандель -М.:НИЦ ИНФРА-М,2024-152 с.(О)</t>
  </si>
  <si>
    <t>ПСИХОЛОГО-ПЕДАГОГИЧЕСКОЕ СОПРОВОЖДЕНИЕ ОБРАЗОВАТЕЛЬНОГО ПРОЦЕССА</t>
  </si>
  <si>
    <t>978-5-16-018892-8</t>
  </si>
  <si>
    <t>44.04.02</t>
  </si>
  <si>
    <t>695781.02.01</t>
  </si>
  <si>
    <t>Психолого-педагог. теории и технологии нач. обр.: Уч.метод. пос. / С.В.Пазухина-М.:НИЦ ИНФРА-М,2023-231 с.(ВО)(П)</t>
  </si>
  <si>
    <t>ПСИХОЛОГО-ПЕДАГОГИЧЕСКИЕ ТЕОРИИ И ТЕХНОЛОГИИ НАЧАЛЬНОГО ОБРАЗОВАНИЯ</t>
  </si>
  <si>
    <t>Пазухина С.В., Шайденкова Т.Н.</t>
  </si>
  <si>
    <t>978-5-16-014737-6</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</si>
  <si>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44.03.01 «Педагогическое образование», 44.03.02 «Психолого-педагогическое образование» (квалификация (степень) «бакалавр») (протокол № 11 от 26.10.2020)</t>
  </si>
  <si>
    <t>Тульский государственный университет</t>
  </si>
  <si>
    <t>729725.04.01</t>
  </si>
  <si>
    <t>Психолого-педагогич. поддержка семьи ребенка с огранич....: Уч. / Е.А.Стребелева-М.:НИЦ ИНФРА-М,2024.-178с(П)</t>
  </si>
  <si>
    <t>ПСИХОЛОГО-ПЕДАГОГИЧЕСКАЯ ПОДДЕРЖКА СЕМЬИ РЕБЕНКА С ОГРАНИЧЕННЫМИ ВОЗМОЖНОСТЯМИ ЗДОРОВЬЯ</t>
  </si>
  <si>
    <t>978-5-16-015921-8</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</si>
  <si>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укрупненной группе специальностей 44.02.00 «Образование и педагогические науки» (протокол № 14 от 30.09.2019)</t>
  </si>
  <si>
    <t>426150.06.01</t>
  </si>
  <si>
    <t>Психолого-педагогические осн. подгот. препод. иностр. яз..:Моногр./ Л.В.Губанова-ИНФРА-М,2024-289с(О)</t>
  </si>
  <si>
    <t>ПСИХОЛОГО-ПЕДАГОГИЧЕСКИЕ ОСНОВЫ ПОДГОТОВКИ ПРЕПОДАВАТЕЛЕЙ ИНОСТРАННЫХ ЯЗЫКОВ (В УСЛОВИЯХ РАБОТЫ В НЕЯЗЫКОВЫХ УЧЕБНЫХ ЗАВЕДЕНИЯХ)</t>
  </si>
  <si>
    <t>978-5-16-006603-5</t>
  </si>
  <si>
    <t>44.04.02, 45.04.01, 45.03.01, 44.03.02</t>
  </si>
  <si>
    <t>642420.09.01</t>
  </si>
  <si>
    <t>Психофизиология проф. деят.: умственный труд: Уч.пос. / Е.В.Сухова - М.:НИЦ ИНФРА-М,2024-155 с.(ВО)(О)</t>
  </si>
  <si>
    <t>ПСИХОФИЗИОЛОГИЯ ПРОФЕССИОНАЛЬНОЙ ДЕЯТЕЛЬНОСТИ: УМСТВЕННЫЙ ТРУД</t>
  </si>
  <si>
    <t>Сухова Е.В.</t>
  </si>
  <si>
    <t>978-5-16-012389-9</t>
  </si>
  <si>
    <t>38.03.03</t>
  </si>
  <si>
    <t>Рекомендовано в качестве учебного пособия для студентов высших учебных заведений, обучающихся по направлениям подготовки 38.03.03 «Управление персоналом», 38.03.02 «Менеджмент» (квалификация (степень) «бакалавр»)</t>
  </si>
  <si>
    <t>Медицинский университет "Реавиз"</t>
  </si>
  <si>
    <t>346500.10.01</t>
  </si>
  <si>
    <t>Психофизиология: общая, возрастная, дифференц...: Уч. / Т.М.Марютина - М.:НИЦ ИНФРА-М,2023 - 436 с.(ВО)(П)</t>
  </si>
  <si>
    <t>ПСИХОФИЗИОЛОГИЯ: ОБЩАЯ, ВОЗРАСТНАЯ, ДИФФЕРЕНЦИАЛЬНАЯ, КЛИНИЧЕСКАЯ</t>
  </si>
  <si>
    <t>Марютина Т.М.</t>
  </si>
  <si>
    <t>978-5-16-018805-8</t>
  </si>
  <si>
    <t>Рекомендовано в качестве учебника для студентов высших учебных заведений, обучающихся по направлению подготовки 37.03.01 «Психология» (квалификация (степень) «бакалавр»)</t>
  </si>
  <si>
    <t>464650.10.01</t>
  </si>
  <si>
    <t>Психофизиология: Уч.пос. / С.Г.Кривощеков - М.:НИЦ ИНФРА-М,2023 - 249 с.-(ВО)(П)</t>
  </si>
  <si>
    <t>ПСИХОФИЗИОЛОГИЯ</t>
  </si>
  <si>
    <t>С.Г.Кривощеков, Р.И.Айзман</t>
  </si>
  <si>
    <t>978-5-16-009649-0</t>
  </si>
  <si>
    <t>37.03.01, 32.04.01, 44.04.01, 37.05.02, 37.05.01, 31.05.01, 31.05.02, 32.05.01, 33.05.01, 37.03.02, 44.03.01, 34.03.01</t>
  </si>
  <si>
    <t>Рекомендовано Региональным центром Сибирского федерального округа по развитию преподавания безопасности жизнедеятельности в качестве учебного пособия для студентов педагогического направления 44.03.01, 44.04.01, профилей «Безопасность жизнедеятельности», «Биология» и «Психология»</t>
  </si>
  <si>
    <t>227900.12.01</t>
  </si>
  <si>
    <t>Психофизиология: Уч.пос. / Ю.Н.Самко - М.:НИЦ ИНФРА-М,2024 - 155 с.(ВО)(П)</t>
  </si>
  <si>
    <t>Самко Ю.Н.</t>
  </si>
  <si>
    <t>978-5-16-011402-6</t>
  </si>
  <si>
    <t>31.02.01, 06.03.01, 37.03.01, 06.04.01, 37.04.01, 37.05.01, 31.05.01, 31.05.02, 30.05.02</t>
  </si>
  <si>
    <t>Рекомендовано в качестве учебного пособия для студентов высших учебных заведений, обучающихся по направлениям подготовки 31.05.01 «Лечебное дело» (квалификация «врач общей практики»), 06.03.01 «Биология», 37.03.01 «Психология» (квалификация (степень) «бакалавр»)</t>
  </si>
  <si>
    <t>Российский национальный исследовательский медицинский университет им. Н.И. Пирогова</t>
  </si>
  <si>
    <t>774775.01.01</t>
  </si>
  <si>
    <t>Пути и средства обеспечения преемственности обуч... / М.А.Родионов-М.:НИЦ ИНФРА-М,2023.-216 с.(о)</t>
  </si>
  <si>
    <t>ПУТИ И СРЕДСТВА ОБЕСПЕЧЕНИЯ ПРЕЕМСТВЕННОСТИ ОБУЧЕНИЯ МЕЖДУ ШКОЛОЙ И ВОЕННЫМ ВУЗОМ (НА МАТЕРИАЛЕ МАТЕМАТИКИ И ИНФОРМАТИКИ)</t>
  </si>
  <si>
    <t>Родионов М.А., Гусева Е.В., Шабанов Г.И.</t>
  </si>
  <si>
    <t>978-5-16-017700-7</t>
  </si>
  <si>
    <t>44.04.02, 44.04.01, 44.06.01</t>
  </si>
  <si>
    <t>Ноябрь, 2022</t>
  </si>
  <si>
    <t>636876.05.01</t>
  </si>
  <si>
    <t>Пути формирования наглядных форм мышления...: Моногр. / Е.А.Стребелева - М.:НИЦ ИНФРА-М,2024-210с.(П)</t>
  </si>
  <si>
    <t>ПУТИ ФОРМИРОВАНИЯ  НАГЛЯДНЫХ ФОРМ МЫШЛЕНИЯ У ДОШКОЛЬНИКОВ С НАРУШЕНИЕМ ИНТЕЛЛЕКТА</t>
  </si>
  <si>
    <t>Стребелева Е.А.</t>
  </si>
  <si>
    <t>978-5-16-012184-0</t>
  </si>
  <si>
    <t>44.04.03</t>
  </si>
  <si>
    <t>153750.07.01</t>
  </si>
  <si>
    <t>Работа психолога в многонациональной школе: Уч. пос. / О.В.Хухлаева - М.: Форум, 2024-176с. (ВО) (О)</t>
  </si>
  <si>
    <t>РАБОТА ПСИХОЛОГА В МНОГОНАЦИОНАЛЬНОЙ ШКОЛЕ</t>
  </si>
  <si>
    <t>Хухлаева О. В., Чибисова М. Ю.</t>
  </si>
  <si>
    <t>978-5-91134-537-2</t>
  </si>
  <si>
    <t>37.03.01, 37.04.01, 44.04.02, 44.03.05, 44.03.04, 44.03.02</t>
  </si>
  <si>
    <t>664713.07.01</t>
  </si>
  <si>
    <t>Развиваем соц. умения: родителям детей с ОВЗ: Уч.прак.пос. / А.В.Закрепина - М.:НИЦ ИНФРА-М,2023-162с(П)</t>
  </si>
  <si>
    <t>РАЗВИВАЕМ СОЦИАЛЬНЫЕ УМЕНИЯ: РОДИТЕЛЯМ ДЕТЕЙ С ОВЗ</t>
  </si>
  <si>
    <t>Закрепина А.В.</t>
  </si>
  <si>
    <t>978-5-16-014382-8</t>
  </si>
  <si>
    <t>2024</t>
  </si>
  <si>
    <t>674506.02.01</t>
  </si>
  <si>
    <t>Развитие аутопсихологической компетентности....: Моногр./ О.В.Полетаева.-М.:ИНФРА-М, 2024-124с(О)</t>
  </si>
  <si>
    <t>РАЗВИТИЕ АУТОПСИХОЛОГИЧЕСКОЙ КОМПЕТЕНТНОСТИ В ПРОФЕССИОНАЛЬНОЙ ПОДГОТОВКЕ СПЕЦИАЛИСТОВ С  УЧЕТОМ СПЕЦИФИКИ РАБОТЫ В АРКТИКЕ</t>
  </si>
  <si>
    <t>Полетаева О.В.</t>
  </si>
  <si>
    <t>Научная мысль (Тюм. индустр. ун-т)</t>
  </si>
  <si>
    <t>978-5-16-013677-6</t>
  </si>
  <si>
    <t>37.03.01, 44.04.02, 44.04.01, 23.03.01, 44.03.01, 44.03.02</t>
  </si>
  <si>
    <t>Тюменский индустриальный университет, ф-л Ноябрьский институт нефти и газа</t>
  </si>
  <si>
    <t>425400.05.01</t>
  </si>
  <si>
    <t>Развитие вероят. стиля мышления в процессе...: Моногр. / С.Н.Дворяткина-М.:НИЦ ИНФРА-М,2022-271с.(О)</t>
  </si>
  <si>
    <t>РАЗВИТИЕ ВЕРОЯТНОСТНОГО СТИЛЯ МЫШЛЕНИЯ В ПРОЦЕССЕ ОБУЧЕНИЯ МАТЕМАТИКЕ: ТЕОРИЯ И ПРАКТИКА</t>
  </si>
  <si>
    <t>Дворяткина С. Н.</t>
  </si>
  <si>
    <t>978-5-16-006337-9</t>
  </si>
  <si>
    <t>674446.02.01</t>
  </si>
  <si>
    <t>Развитие дет. изо. творчества под влиянием...: Моногр. / С.В.Погодина-М.:НИЦ ИНФРА-М,2023.-361 с.(П)</t>
  </si>
  <si>
    <t>РАЗВИТИЕ ДЕТСКОГО ИЗОБРАЗИТЕЛЬНОГО ТВОРЧЕСТВА ПОД ВЛИЯНИЕМ ХУДОЖЕСТВЕННЫХ ЭТАЛОНОВ В РАМКАХ КОНЦЕПЦИИ ТРАНСФОРМИРУЕМЫХ ЭСТЕТИЧЕСКИХ АРХЕТИПОВ</t>
  </si>
  <si>
    <t>Погодина С.В.</t>
  </si>
  <si>
    <t>978-5-16-017482-2</t>
  </si>
  <si>
    <t>773010.01.01</t>
  </si>
  <si>
    <t>Развитие идей творческой деят. учащихся в теории...: Моногр. / К.Ю.Герасимова-М.:НИЦ ИНФРА-М,2022.-183 с.(О)</t>
  </si>
  <si>
    <t>РАЗВИТИЕ ИДЕЙ ТВОРЧЕСКОЙ ДЕЯТЕЛЬНОСТИ УЧАЩИХСЯ В ТЕОРИИ И ПРАКТИКЕ РОССИЙСКОЙ И НЕМЕЦКОЙ ПЕДАГОГИКИ КОНЦА XIX - НАЧАЛА XX ВЕКА</t>
  </si>
  <si>
    <t>Герасимова К.Ю., Аллагулов А.М.</t>
  </si>
  <si>
    <t>978-5-16-017510-2</t>
  </si>
  <si>
    <t>44.04.01, 44.06.01, 44.03.01, 44.03.05, 44.03.02</t>
  </si>
  <si>
    <t>780143.01.01</t>
  </si>
  <si>
    <t>Развитие интеллект.способ.детей старш.дошк.возр...: Моногр. / М.Ю.Стожарова.-М.:НИЦ ИНФРА-М,2023.-274с(п)</t>
  </si>
  <si>
    <t>РАЗВИТИЕ ИНТЕЛЛЕКТУАЛЬНЫХ СПОСОБНОСТЕЙ ДЕТЕЙ СТАРШЕГО ДОШКОЛЬНОГО ВОЗРАСТА В РАЗЛИЧНЫХ ФОРМАХ МАТЕМАТИЧЕСКОЙ РАБОТЫ</t>
  </si>
  <si>
    <t>Стожарова М.Ю., Сидорова Ю.Ю., Нуртдинова Л.Б. и др.</t>
  </si>
  <si>
    <t>978-5-16-018371-8</t>
  </si>
  <si>
    <t>44.04.01, 44.04.04, 44.06.01, 44.03.01, 44.03.05</t>
  </si>
  <si>
    <t>Ульяновский государственный педагогический университет им. И.Н. Ульянова</t>
  </si>
  <si>
    <t>665757.04.01</t>
  </si>
  <si>
    <t>Развитие исслед. культуры совр. студ. в вузе: Моногр. / О.Н.Шихова-М.:НИЦ ИНФРА-М,2023-126с(О)</t>
  </si>
  <si>
    <t>РАЗВИТИЕ ИССЛЕДОВАТЕЛЬСКОЙ КУЛЬТУРЫ СОВРЕМЕННЫХ СТУДЕНТОВ В ВУЗЕ</t>
  </si>
  <si>
    <t>Шихова О.Н.</t>
  </si>
  <si>
    <t>978-5-16-013186-3</t>
  </si>
  <si>
    <t>44.00.00, 44.04.02, 44.04.01, 44.04.03, 44.04.04, 44.05.01, 44.03.01, 44.03.05, 44.03.04, 44.03.02, 44.03.03</t>
  </si>
  <si>
    <t>775338.01.01</t>
  </si>
  <si>
    <t>Развитие концепции формирования личности учителя..: Моногр. / А.В.Леонова-М.:НИЦ ИНФРА-М,2023.-229 с.(О)</t>
  </si>
  <si>
    <t>РАЗВИТИЕ КОНЦЕПЦИИ ФОРМИРОВАНИЯ ЛИЧНОСТИ УЧИТЕЛЯ В ИСТОРИИ И ТЕОРИИ ВЫСШЕГО ПЕДАГОГИЧЕСКОГО ОБРАЗОВАНИЯ В 90-Е ГГ. ХХ ВЕКА</t>
  </si>
  <si>
    <t>Леонова А.В.</t>
  </si>
  <si>
    <t>978-5-16-017794-6</t>
  </si>
  <si>
    <t>720106.03.01</t>
  </si>
  <si>
    <t>Развитие логического мышления у дош.: Уч.пос. / А.В.Белошистая, - 2 изд.-М.:НИЦ ИНФРА-М,2024.-300 с.(П)</t>
  </si>
  <si>
    <t>РАЗВИТИЕ ЛОГИЧЕСКОГО МЫШЛЕНИЯ У ДОШКОЛЬНИКОВ, ИЗД.2</t>
  </si>
  <si>
    <t>978-5-16-015664-4</t>
  </si>
  <si>
    <t>44.02.01, 44.02.02, 44.02.03, 44.02.05</t>
  </si>
  <si>
    <t>668701.04.01</t>
  </si>
  <si>
    <t>Развитие логического мышления у дошк.: Уч.пос. / А.В.Белошистая - 2 изд. - М.:НИЦ ИНФРА-М,2024 - 300 с(ВО)</t>
  </si>
  <si>
    <t>978-5-16-018921-5</t>
  </si>
  <si>
    <t>Рекомендовано Учебно-методическим советом ВО в качестве учебного пособия для студентов высших учебных заведений, обучающихся по направлениям подготовки 44.03.01 «Педагогическое образование», 44.03.02 «Психолого-педагогическое образование» (квалификация (степень) «бакалавр»)</t>
  </si>
  <si>
    <t>468400.09.01</t>
  </si>
  <si>
    <t>Развитие матем. мышл. ребенка...: Моногр. /А.В.Белошистая -М.:НИЦ ИНФРА-М,2024-234c.(Науч.мысль)(О)</t>
  </si>
  <si>
    <t>РАЗВИТИЕ  МАТЕМАТИЧЕСКОГО МЫШЛЕНИЯ РЕБЕНКА ДОШКОЛЬНОГО И  МЛАДШЕГО ШКОЛЬНОГО ВОЗРАСТА В ПРОЦЕССЕ ОБУЧЕНИЯ</t>
  </si>
  <si>
    <t>978-5-16-016787-9</t>
  </si>
  <si>
    <t>699901.03.01</t>
  </si>
  <si>
    <t>Развитие мысл. деят. детей дошк.возраста: Уч.пос./Л.Н.Вахрушева-М.:Форум,НИЦ ИНФРА-М,2022-189(СПО)(П)</t>
  </si>
  <si>
    <t>РАЗВИТИЕ МЫСЛИТЕЛЬНОЙ ДЕЯТЕЛЬНОСТИ ДЕТЕЙ ДОШКОЛЬНОГО ВОЗРАСТА</t>
  </si>
  <si>
    <t>Вахрушева Л.Н.</t>
  </si>
  <si>
    <t>978-5-00091-648-3</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</si>
  <si>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специальности 44.02.01 «Дошкольное образование»</t>
  </si>
  <si>
    <t>Вятский государственный университет</t>
  </si>
  <si>
    <t>22</t>
  </si>
  <si>
    <t>111880.10.01</t>
  </si>
  <si>
    <t>Развитие мыслительной деят.детей дошк.возраста: Уч.пос. / Л.Н. Вахрушева-2изд.-М.:Форум,ИНФРА-М,2022-197с.(П)</t>
  </si>
  <si>
    <t>РАЗВИТИЕ МЫСЛИТЕЛЬНОЙ ДЕЯТЕЛЬНОСТИ ДЕТЕЙ ДОШКОЛЬНОГО ВОЗРАСТА, ИЗД.2</t>
  </si>
  <si>
    <t>978-5-16-016281-2</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</si>
  <si>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педагогическим специальностям (протокол № 10 от 12.10.2020)</t>
  </si>
  <si>
    <t>111880.08.01</t>
  </si>
  <si>
    <t>Развитие мыслительной деят.детей дошк.возраста: Уч.пос. / Л.Н. Вахрушева-М.:Форум,ИНФРА-М,2019-188с.</t>
  </si>
  <si>
    <t>978-5-91134-354-5</t>
  </si>
  <si>
    <t>757648.04.01</t>
  </si>
  <si>
    <t>Развитие осязания и мелкой моторики у детей с наруш. зрения: Уч.мет.пос. / Л.Б.Осипова-М.:НИЦ ИНФРА-М,2024.-248 с.(П)</t>
  </si>
  <si>
    <t>РАЗВИТИЕ ОСЯЗАНИЯ И МЕЛКОЙ МОТОРИКИ У ДЕТЕЙ С НАРУШЕНИЯМИ ЗРЕНИЯ</t>
  </si>
  <si>
    <t>Осипова Л.Б.</t>
  </si>
  <si>
    <t>978-5-16-016904-0</t>
  </si>
  <si>
    <t>44.04.03, 44.03.01, 44.03.02, 44.03.03</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</si>
  <si>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специальности 44.02.04 «Специальное дошкольное образование» (протокол № 10 от 12.10.2020)</t>
  </si>
  <si>
    <t>714355.02.01</t>
  </si>
  <si>
    <t>Развитие осязания и мелкой моторики у детей...: Уч.мет.пос. / Л.Б.Осипова-М.:НИЦ ИНФРА-М,2024.-248 с.(ВО)(П)</t>
  </si>
  <si>
    <t>978-5-16-018791-4</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</si>
  <si>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44.03.01 «Педагогическое образование», 44.03.02 «Психолого-педагогическое образование», 44.03.03 «Специальное (дефектологическое) образование» (квалификация (степень) «бакалавр») (протокол № 8 от 22.06.2020)</t>
  </si>
  <si>
    <t>732707.02.01</t>
  </si>
  <si>
    <t>Развитие предметных представл. у детей дошк. возраста: Уч.мет.пос. / Л.Б.Осипова-М.:НИЦ ИНФРА-М,2022-158 с.(П)</t>
  </si>
  <si>
    <t>РАЗВИТИЕ ПРЕДМЕТНЫХ ПРЕДСТАВЛЕНИЙ У ДЕТЕЙ ДОШКОЛЬНОГО ВОЗРАСТА С НАРУШЕНИЯМИ ЗРЕНИЯ В ПРОЦЕССЕ ТВОРЧЕСКОГО КОНСТРУИРОВАНИЯ В УСЛОВИЯХ ИНКЛЮЗИВНОГО ОБРАЗОВАНИЯ</t>
  </si>
  <si>
    <t>Осипова Л.Б., Дружинина Л.А., Власова О.И. и др.</t>
  </si>
  <si>
    <t>978-5-16-015916-4</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</si>
  <si>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укрупненной группе специальностей 44.02.00 «Образование и педагогические науки» (протокол № 8 от 28.09.2020)</t>
  </si>
  <si>
    <t>714353.04.01</t>
  </si>
  <si>
    <t>Развитие предметных представлений у детей дошк. возраста... / Л.Б.Осипова-М.:ИНФРА-М,2023-158с.(ВО)(П)</t>
  </si>
  <si>
    <t>978-5-16-015676-7</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</si>
  <si>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44.03.03 «Специальное (дефектологическое) образование» (квалификация (степень) «бакалавр») (протокол № 15 от 14.10.2019)</t>
  </si>
  <si>
    <t>788295.01.01</t>
  </si>
  <si>
    <t>Развитие сов. общеобр. школы в первые послевоен. годы..: Моногр. / А.Е.Смирницкий-М.:НИЦ ИНФРА-М,2023-172с.(о)</t>
  </si>
  <si>
    <t>РАЗВИТИЕ СОВЕТСКОЙ ОБЩЕОБРАЗОВАТЕЛЬНОЙ ШКОЛЫ В ПЕРВЫЕ ПОСЛЕВОЕННЫЕ ГОДЫ (1946-1952)</t>
  </si>
  <si>
    <t>Смирницкий А.Е.</t>
  </si>
  <si>
    <t>978-5-16-017974-2</t>
  </si>
  <si>
    <t>46.04.01, 44.04.01, 44.06.01, 46.06.01</t>
  </si>
  <si>
    <t>682628.05.01</t>
  </si>
  <si>
    <t>Репрезентация образа матери в рос. ментальности: Моногр. / Н.Н.Васягина-М.:НИЦ ИНФРА-М,2023.-181с(О)</t>
  </si>
  <si>
    <t>РЕПРЕЗЕНТАЦИЯ ОБРАЗА МАТЕРИ В РОССИЙСКОЙ МЕНТАЛЬНОСТИ</t>
  </si>
  <si>
    <t>Васягина Н.Н., Газизова Ю.С.</t>
  </si>
  <si>
    <t>978-5-16-014062-9</t>
  </si>
  <si>
    <t>37.03.01, 44.04.02, 44.03.05, 44.03.02</t>
  </si>
  <si>
    <t>666949.04.01</t>
  </si>
  <si>
    <t>Рефлексивная педагогика вуза: Монография / Ю.Д.Красовский-М.:НИЦ ИНФРА-М,2023.-190 с.(Науч.мысль)(П)</t>
  </si>
  <si>
    <t>РЕФЛЕКСИВНАЯ ПЕДАГОГИКА ВУЗА</t>
  </si>
  <si>
    <t>Красовский Ю.Д.</t>
  </si>
  <si>
    <t>978-5-16-013275-4</t>
  </si>
  <si>
    <t>11.04.02, 44.05.01</t>
  </si>
  <si>
    <t>646426.03.01</t>
  </si>
  <si>
    <t>Рефлексивное управ.проф.становлением будущего учителя / Н.Я.Сайгушев-М.:НИЦ ИНФРА-М,2020.-279 с.(Научная мысль) (П)</t>
  </si>
  <si>
    <t>РЕФЛЕКСИВНОЕ УПРАВЛЕНИЕ ПРОФЕССИОНАЛЬНЫМ СТАНОВЛЕНИЕМ БУДУЩЕГО УЧИТЕЛЯ</t>
  </si>
  <si>
    <t>Сайгушев Н.Я.</t>
  </si>
  <si>
    <t>978-5-16-011799-7</t>
  </si>
  <si>
    <t>276100.07.01</t>
  </si>
  <si>
    <t>Реформирование высш.обр. на основе замещения...: Моногр. / В.И.Подлесных - М.:НИЦ ИНФРА-М,2023 - 188 с.(о)</t>
  </si>
  <si>
    <t>РЕФОРМИРОВАНИЕ ВЫСШЕГО ОБРАЗОВАНИЯ НА ОСНОВЕ ЗАМЕЩЕНИЯ ТЕХНОЛОГИЧЕСКОГО УКЛАДА (НОВЫЕ ПОДХОДЫ И МЕТОДЫ)</t>
  </si>
  <si>
    <t>Подлесных В. И.</t>
  </si>
  <si>
    <t>978-5-16-009731-2</t>
  </si>
  <si>
    <t>38.04.01, 38.04.02, 44.03.05</t>
  </si>
  <si>
    <t>Национальный исследовательский университет ИТМО</t>
  </si>
  <si>
    <t>719748.04.01</t>
  </si>
  <si>
    <t>Речевое и предречевое разв. детей раннего возраста: Уч.мет.пос. / Т.А.Титова-М.:НИЦ ИНФРА-М,2024-192с(СПО)</t>
  </si>
  <si>
    <t>РЕЧЕВОЕ И ПРЕДРЕЧЕВОЕ РАЗВИТИЕ ДЕТЕЙ РАННЕГО ВОЗРАСТА</t>
  </si>
  <si>
    <t>Титова Т.А., Елецкая О.В., Матвеева М.В. и др.</t>
  </si>
  <si>
    <t>978-5-16-015652-1</t>
  </si>
  <si>
    <t>44.02.01, 44.02.04</t>
  </si>
  <si>
    <t>Рекомендовано Межрегиональным учебно-методическим советом профессионального образования в качестве учебно-методического пособия для учебных заведений, реализующих программу среднего профессионального образования по специальности 44.02.04 «Специальное дошкольное образование» (протокол № 12 от 24.06.2019)</t>
  </si>
  <si>
    <t>383200.07.01</t>
  </si>
  <si>
    <t>Речевое и псих.развитие детей ран. возраста:Уч.-мет. пос./Т.А.Титова-Форум,НИЦ ИНФРА-М,2023-192с(ВО)(о)</t>
  </si>
  <si>
    <t>РЕЧЕВОЕ И ПСИХИЧЕСКОЕ РАЗВИТИЕ ДЕТЕЙ РАННЕГО ВОЗРАСТА</t>
  </si>
  <si>
    <t>978-5-00091-769-5</t>
  </si>
  <si>
    <t>37.03.01, 37.04.01, 44.04.02, 44.04.03, 44.03.01, 44.03.05, 44.03.04, 44.03.02, 44.03.03</t>
  </si>
  <si>
    <t>Рекомендовано кафедрой логопедии Ленинградского государственного университета им. А.С. Пушкина для студентов образовательных учреждений высшего образования, обучающихся по направлениям 44.04.03 «Специальное (дефектологическое) образование» (магистратура) и 44.03.03 «Специальное (дефектологическое) образование (бакалавриат) по профилю подготовки «Логопедия»</t>
  </si>
  <si>
    <t>147950.14.01</t>
  </si>
  <si>
    <t>Роль отца в психическом разв. ребенка: Моногр. /О.Г.Калина - 2 изд.-М.:Форум,НИЦ ИНФРА-М,2024-112с(О)</t>
  </si>
  <si>
    <t>РОЛЬ ОТЦА В ПСИХИЧЕСКОМ РАЗВИТИИ РЕБЕНКА, ИЗД.2</t>
  </si>
  <si>
    <t>Калина О. Г., Холмогорова А. Б.</t>
  </si>
  <si>
    <t>978-5-00091-522-6</t>
  </si>
  <si>
    <t>734798.02.01</t>
  </si>
  <si>
    <t>Самосознание и личностный адаптац. потенциал при нормал. и... / Т.И.Кузьмина-М.:НИЦ ИНФРА-М,2023.-210 с.(О)</t>
  </si>
  <si>
    <t>САМОСОЗНАНИЕ И ЛИЧНОСТНЫЙ АДАПТАЦИОННЫЙ ПОТЕНЦИАЛ ПРИ НОРМАЛЬНОМ И НАРУШЕННОМ РАЗВИТИИ</t>
  </si>
  <si>
    <t>Кузьмина Т.И.</t>
  </si>
  <si>
    <t>978-5-16-016201-0</t>
  </si>
  <si>
    <t>37.03.01, 37.05.01, 37.06.01, 44.06.01</t>
  </si>
  <si>
    <t>732744.03.01</t>
  </si>
  <si>
    <t>Семейная педагогика и домашнее воспитание: Уч. / Под ред. Сергеевой В.П.-М.:НИЦ ИНФРА-М,2023.-197 с.(СПО)(П)</t>
  </si>
  <si>
    <t>СЕМЕЙНАЯ ПЕДАГОГИКА И ДОМАШНЕЕ ВОСПИТАНИЕ</t>
  </si>
  <si>
    <t>Сергеева В.П., Никитина Э.К., Недвецкая М.Н. и др.</t>
  </si>
  <si>
    <t>978-5-16-016178-5</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</si>
  <si>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специальностям 44.02.00 «Образование и педагогические науки»  (протокол № 10 от 12.10.2020)</t>
  </si>
  <si>
    <t>430200.09.01</t>
  </si>
  <si>
    <t>Семейные трад.восп. детей в культ.и быту народ.России: Уч.мет.пос. / Г.И.Репринцева - М.:Форум,2024 - 304 с(О)</t>
  </si>
  <si>
    <t>СЕМЕЙНЫЕ ТРАДИЦИИ ВОСПИТАНИЯ ДЕТЕЙ В КУЛЬТУРЕ И БЫТУ НАРОДОВ РОССИИ</t>
  </si>
  <si>
    <t>Репринцева Г.И., Азизова Н.Р.</t>
  </si>
  <si>
    <t>978-5-91134-714-7</t>
  </si>
  <si>
    <t>44.04.02, 39.04.02, 44.03.01, 44.03.02, 39.03.02</t>
  </si>
  <si>
    <t>Рекомендовано к изданию Ученым и Экспертно-редакционным советами ФГНУ «Институт социальной педагогики» Российской академии образования в качестве учебно-методического пособия</t>
  </si>
  <si>
    <t>Институт Экономики и Управления в промышленности</t>
  </si>
  <si>
    <t>761784.02.01</t>
  </si>
  <si>
    <t>Семейный лад, или ценности семейного воспитания в Рос.: Моногр. / Л.О.Володина-М.:НИЦ ИНФРА-М,2024.-231с(О)</t>
  </si>
  <si>
    <t>СЕМЕЙНЫЙ ЛАД, ИЛИ ЦЕННОСТИ СЕМЕЙНОГО ВОСПИТАНИЯ В РОССИИ</t>
  </si>
  <si>
    <t>Володина Л.О.</t>
  </si>
  <si>
    <t>978-5-16-017167-8</t>
  </si>
  <si>
    <t>44.04.02, 44.04.01, 44.05.01, 44.06.01</t>
  </si>
  <si>
    <t>Вологодский государственный университет</t>
  </si>
  <si>
    <t>276700.07.01</t>
  </si>
  <si>
    <t>Система интенсивного обуч. в высших учебных...: Моногр. / А.О.Горбенко - М:КУРС: ИНФРА-М,2023-240с.(О)</t>
  </si>
  <si>
    <t>СИСТЕМА ИНТЕНСИВНОГО ОБУЧЕНИЯ В ВЫСШИХ УЧЕБНЫХ ЗАВЕДЕНИЯХ. ТЕОРИЯ И ПРАКТИКА</t>
  </si>
  <si>
    <t>Горбенко А. О., Мамасуев А. В.</t>
  </si>
  <si>
    <t>Наука</t>
  </si>
  <si>
    <t>978-5-905554-56-8</t>
  </si>
  <si>
    <t>Российский экономический университет им. Г.В. Плеханова</t>
  </si>
  <si>
    <t>423250.08.01</t>
  </si>
  <si>
    <t>Система качества вуза: Монография / В.В.Левшина - М.:НИЦ ИНФРА-М,2024.-280 с.(Научная мысль)(П)</t>
  </si>
  <si>
    <t>СИСТЕМА КАЧЕСТВА ВУЗА</t>
  </si>
  <si>
    <t>Левшина В.В.</t>
  </si>
  <si>
    <t>978-5-16-006574-8</t>
  </si>
  <si>
    <t>38.04.02, 38.03.02, 41.03.06</t>
  </si>
  <si>
    <t>474800.06.01</t>
  </si>
  <si>
    <t>Система формир. уч. деят. мл. школ.: Уч.пос. /Г.И.Вергелес -3 изд. -М.: НИЦ ИНФРА-М, 2023 -174с(П)</t>
  </si>
  <si>
    <t>СИСТЕМА ФОРМИРОВАНИЯ УЧЕБНОЙ ДЕЯТЕЛЬНОСТИ МЛАДШИХ ШКОЛЬНИКОВ, ИЗД.3</t>
  </si>
  <si>
    <t>Вергелес Г.И.</t>
  </si>
  <si>
    <t>978-5-16-011636-5</t>
  </si>
  <si>
    <t>Допущено Учебно-методическим объединением по направлению «Педагогическое образование» Министерства образования и науки Российской Федерации в качестве учебного пособия для высших учебных заведений, ведущих подготовку по направлению 44.03.01 «Педагогическое образование»</t>
  </si>
  <si>
    <t>706848.03.01</t>
  </si>
  <si>
    <t>Система формир. учебной деят. младших шк.:Уч.пос. / Г.И.Вергелес- 3 изд.-М.:НИЦ ИНФРА-М,2023-174с(П)</t>
  </si>
  <si>
    <t>978-5-16-015122-9</t>
  </si>
  <si>
    <t>44.02.02</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</si>
  <si>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специальности 44.02.02 «Преподавание в начальных классах» (протокол № 12 от 24.06.2019)</t>
  </si>
  <si>
    <t>0320</t>
  </si>
  <si>
    <t>398700.07.01</t>
  </si>
  <si>
    <t>Система экол. восп. дошкольников: Уч.пос. / С.Н.Николаева - 2 изд.-М.:НИЦ ИНФРА-М,2022-255 с.(ВО)(П)</t>
  </si>
  <si>
    <t>СИСТЕМА ЭКОЛОГИЧЕСКОГО ВОСПИТАНИЯ ДОШКОЛЬНИКОВ, ИЗД.2</t>
  </si>
  <si>
    <t>978-5-16-011275-6</t>
  </si>
  <si>
    <t>Рекомендовано в качестве учебного пособия студентам высших учебных заведений, обучающимся по направлению подготовки 44.03.01 «Педагогическое образование» (квалификация (степень) «бакалавр»)</t>
  </si>
  <si>
    <t>398700.08.01</t>
  </si>
  <si>
    <t>Система экол. воспит. дошкольников: Уч.пос. / С.Н.Николаева-3 изд-М.:НИЦ ИНФРА-М,2024-247 с.(ВО:Магистр)(п)</t>
  </si>
  <si>
    <t>СИСТЕМА ЭКОЛОГИЧЕСКОГО ВОСПИТАНИЯ ДОШКОЛЬНИКОВ, ИЗД.3</t>
  </si>
  <si>
    <t>978-5-16-017537-9</t>
  </si>
  <si>
    <t>0324</t>
  </si>
  <si>
    <t>641460.03.01</t>
  </si>
  <si>
    <t>Совершенствование образоват. процесса вуза...: Моногр. / М.В.Самсонова - М.:НИЦ ИНФРА-М,2023 - 138с(О)</t>
  </si>
  <si>
    <t>СОВЕРШЕНСТВОВАНИЕ ОБРАЗОВАТЕЛЬНОГО ПРОЦЕССА ВУЗА, ОСНОВАННОГО НА КОМПЕТЕНТНОСТНОМ ПОДХОДЕ</t>
  </si>
  <si>
    <t>Самсонова М.В.</t>
  </si>
  <si>
    <t>978-5-16-013692-9</t>
  </si>
  <si>
    <t>Ульяновский государственный технический университет</t>
  </si>
  <si>
    <t>738107.03.01</t>
  </si>
  <si>
    <t>Современная технология обуч. ин. яз.: Моногр. / Т.Ю.Ломакина - М.:НИЦ ИНФРА-М,2023 - 194 с.(Науч.мысль)(О)</t>
  </si>
  <si>
    <t>СОВРЕМЕННАЯ ТЕХНОЛОГИЯ ОБУЧЕНИЯ ИНОСТРАННОМУ ЯЗЫКУ: ПРОЕКТИРОВАНИЕ И ОПЫТ</t>
  </si>
  <si>
    <t>Ломакина Т.Ю., Васильченко Н.В.</t>
  </si>
  <si>
    <t>978-5-16-016355-0</t>
  </si>
  <si>
    <t>44.04.02, 44.04.01, 44.04.04, 44.06.01, 44.03.01, 44.03.05</t>
  </si>
  <si>
    <t>668783.05.01</t>
  </si>
  <si>
    <t>Современное доп. образование взрослых: Моногр. / Под ред. Данилова С.В.-М.:НИЦ ИНФРА-М,2023.-203с(П)</t>
  </si>
  <si>
    <t>СОВРЕМЕННОЕ ДОПОЛНИТЕЛЬНОЕ ОБРАЗОВАНИЕ ВЗРОСЛЫХ</t>
  </si>
  <si>
    <t>Данилов С.В., Глебова З.В., Дуброва Т.И. и др.</t>
  </si>
  <si>
    <t>978-5-16-013484-0</t>
  </si>
  <si>
    <t>44.04.01, 44.03.05, 44.03.04</t>
  </si>
  <si>
    <t>766878.01.01</t>
  </si>
  <si>
    <t>Современное юридическое образование: Моногр. / В.В.Блажеев.-М.:Юр.Норма, НИЦ ИНФРА-М,2022.-400 с.(П)</t>
  </si>
  <si>
    <t>СОВРЕМЕННОЕ ЮРИДИЧЕСКОЕ ОБРАЗОВАНИЕ: ТРАДИЦИИ И ИННОВАЦИИ УНИВЕРСИТЕТА ИМЕНИ О.Е.КУТАФИНА (МГЮА)</t>
  </si>
  <si>
    <t>Блажеев В.В., Мажорина М.В., Агафонов В.Б. и др.</t>
  </si>
  <si>
    <t>978-5-00156-203-0</t>
  </si>
  <si>
    <t>40.04.01, 40.06.01</t>
  </si>
  <si>
    <t>773495.01.01</t>
  </si>
  <si>
    <t>Современные пробл. детства и психологич. помощь семье / А.М.Зинатуллина-М.:ИЦ РИОР, НИЦ ИНФРА-М,2022-350 с.(П)</t>
  </si>
  <si>
    <t>СОВРЕМЕННЫЕ ПРОБЛЕМЫ ДЕТСТВА И ПСИХОЛОГИЧЕСКАЯ ПОМОЩЬ СЕМЬЕ</t>
  </si>
  <si>
    <t>Зинатуллина А.М., Ульянина О.А., Любка Е.И.</t>
  </si>
  <si>
    <t>978-5-369-01896-5</t>
  </si>
  <si>
    <t>37.03.01, 37.04.01, 44.04.02, 39.04.01, 44.04.01, 44.03.01, 44.03.05, 44.03.02</t>
  </si>
  <si>
    <t>665755.03.01</t>
  </si>
  <si>
    <t>Современные проблемы естест.-матем. образ.в период.:Моногр./ В.В.Артемьева-М.:НИЦ ИНФРА-М,2023-200с.</t>
  </si>
  <si>
    <t>СОВРЕМЕННЫЕ ПРОБЛЕМЫ ЕСТЕСТВЕННО-МАТЕМАТИЧЕСКОГО ОБРАЗОВАНИЯ В ПЕРИОД ДЕТСТВА</t>
  </si>
  <si>
    <t>Артемьева В.В., Бывшева М.В., Волкова Н.А. и др.</t>
  </si>
  <si>
    <t>978-5-16-013271-6</t>
  </si>
  <si>
    <t>708392.02.01</t>
  </si>
  <si>
    <t>Современные проблемы педагогики и образ.: Моногр. / Я.С.Турбовской-М.:НИЦ ИНФРА-М,2023.-320 с.(П)</t>
  </si>
  <si>
    <t>СОВРЕМЕННЫЕ ПРОБЛЕМЫ ПЕДАГОГИКИ И ОБРАЗОВАНИЯ</t>
  </si>
  <si>
    <t>978-5-16-015285-1</t>
  </si>
  <si>
    <t>44.04.02, 44.04.01, 44.04.04, 44.06.01, 44.03.01, 44.03.05, 44.03.04, 44.03.02</t>
  </si>
  <si>
    <t>448400.07.01</t>
  </si>
  <si>
    <t>Современные программы матем. обр. дошк.: Моногр. / А.В.Белошистая - 2 изд.-М.:НИЦ ИНФРА-М,2024-252с (о)</t>
  </si>
  <si>
    <t>СОВРЕМЕННЫЕ ПРОГРАММЫ МАТЕМАТИЧЕСКОГО ОБРАЗОВАНИЯ ДОШКОЛЬНИКОВ, ИЗД.2</t>
  </si>
  <si>
    <t>978-5-16-019235-2</t>
  </si>
  <si>
    <t>44.04.01, 44.04.04, 44.03.01, 44.03.05</t>
  </si>
  <si>
    <t>708172.03.01</t>
  </si>
  <si>
    <t>Современные технологии дош. обр.: Уч.пос. / Под ред. Захаровой Л.М. - М.:НИЦ ИНФРА-М,2024-251с.(ВО)(п)</t>
  </si>
  <si>
    <t>СОВРЕМЕННЫЕ ТЕХНОЛОГИИ ДОШКОЛЬНОГО ОБРАЗОВАНИЯ</t>
  </si>
  <si>
    <t>Андрианова Е.И., Богомолова М.И., Гришина А.А. и др.</t>
  </si>
  <si>
    <t>978-5-16-019436-3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</si>
  <si>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44.03.01 «Педагогическое образование» (квалификация (степень) «бакалавр») (протокол № 17 от 11.11.2019)</t>
  </si>
  <si>
    <t>741958.04.01</t>
  </si>
  <si>
    <t>Современные технологии дошк.обр.: Уч.пос. / Под ред. Захаровой Л.М.-М.:НИЦ ИНФРА-М,2024-251с (СПО)(П)</t>
  </si>
  <si>
    <t>978-5-16-016398-7</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</si>
  <si>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специальностям 44.02.01 «Дошкольное образование», 44.02.03 «Педагогика дополнительного образования» (протокол № 8 от 22.06.2020)</t>
  </si>
  <si>
    <t>404700.03.01</t>
  </si>
  <si>
    <t>Создание сис. оценивания ключ. компетенций учащихся... / А.В.Пашкевич-М.:ИЦ РИОР, НИЦ ИНФРА-М,2019.-166 с.(О)</t>
  </si>
  <si>
    <t>СОЗДАНИЕ СИСТЕМЫ ОЦЕНИВАНИЯ КЛЮЧЕВЫХ КОМПЕТЕНЦИЙ УЧАЩИХСЯ МАССОВОЙ ШКОЛЫ</t>
  </si>
  <si>
    <t>Пашкевич А.В.</t>
  </si>
  <si>
    <t>978-5-369-01097-6</t>
  </si>
  <si>
    <t>439600.08.01</t>
  </si>
  <si>
    <t>Социальная педагогика: Уч. / М.А.Галагузова и др. - М.:НИЦ ИНФРА-М,2023 - 319 с.-(ВО: Бакалавриат)(П)</t>
  </si>
  <si>
    <t>СОЦИАЛЬНАЯ ПЕДАГОГИКА</t>
  </si>
  <si>
    <t>ГалагузоваМ.А., БеляеваМ.А., ГалагузоваЮ.Н. и др.</t>
  </si>
  <si>
    <t>978-5-16-011362-3</t>
  </si>
  <si>
    <t>Рекомендовано УМО РАЕ по классическому университетскому и техническому образованию в качестве учебника для студентов высших учебных заведений,  обучающихся по направлениям подготовки 44.03.01 «Педагогическое образование», 44.03.02 «Психолого-педагогическое образование» (квалификация (степень) «бакалавр»)</t>
  </si>
  <si>
    <t>661025.04.01</t>
  </si>
  <si>
    <t>Социальная педагогика: Уч.пос. / А.К.Лукина -М.:НИЦ ИНФРА-М, СФУ,2024-306с.(ВО(СФУ))(п)</t>
  </si>
  <si>
    <t>Лукина А.К.</t>
  </si>
  <si>
    <t>Высшее образование (СФУ)</t>
  </si>
  <si>
    <t>978-5-16-019446-2</t>
  </si>
  <si>
    <t>44.03.03, 39.03.02</t>
  </si>
  <si>
    <t>Допущено Учебно-методическим объединением по направлениям педагогического образования и науки РФ в качестве учебно-методического пособия для преподавателей и студентов педагогических вузов</t>
  </si>
  <si>
    <t>374600.05.01</t>
  </si>
  <si>
    <t>Социальная психология в схемах и комментариях: Уч.пос. / В.Г.Крысько - 4 изд. - М.:Вуз. уч., НИЦ ИНФРА-М,2022-227 с.(П)</t>
  </si>
  <si>
    <t>СОЦИАЛЬНАЯ ПСИХОЛОГИЯ В СХЕМАХ И КОММЕНТАРИЯХ, ИЗД.4</t>
  </si>
  <si>
    <t>978-5-9558-0445-3</t>
  </si>
  <si>
    <t>37.03.01, 42.03.02, 42.03.01, 37.05.02, 37.05.01, 39.03.01, 37.03.02, 44.03.01, 44.03.05, 44.03.04, 44.03.02, 44.03.03, 39.03.02, 39.03.03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</si>
  <si>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37.00.00 «Психологические науки», 38.00.00 «Экономика и управление», 39.00.00 «Социология и социальные науки» (квалификация (степень) «бакалавр») (протокол № 10 от 15.12.2021)</t>
  </si>
  <si>
    <t>632184.06.01</t>
  </si>
  <si>
    <t>Социальная психология детства: Уч. / В.В.Абраменкова - 2 изд. - М.:НИЦ ИНФРА-М,2023 - 511 с.(ВО)(П)</t>
  </si>
  <si>
    <t>СОЦИАЛЬНАЯ ПСИХОЛОГИЯ ДЕТСТВА, ИЗД.2</t>
  </si>
  <si>
    <t>Абраменкова В.В.</t>
  </si>
  <si>
    <t>978-5-16-012279-3</t>
  </si>
  <si>
    <t>37.03.01, 44.03.01, 44.03.05, 44.03.02</t>
  </si>
  <si>
    <t>Рекомендовано в качестве учебного пособия  для студентов высших учебных заведений, обучающихся по направлениям подготовки 37.03.01 «Психология», 44.03.01 «Педагогическое образование», 44.03.02 «Психолого-педагогическое образование» (квалификация (степень) «бакалавр»)</t>
  </si>
  <si>
    <t>285300.06.01</t>
  </si>
  <si>
    <t>Социальная психология обр.: Уч. пос. / Под. ред.О.Б.Крушельницкой.-М.:Вуз. уч.,НИЦ ИНФРА-М,2023-320с(П)</t>
  </si>
  <si>
    <t>СОЦИАЛЬНАЯ ПСИХОЛОГИЯ ОБРАЗОВАНИЯ</t>
  </si>
  <si>
    <t>Крушельницкая О.Б., Крушельницкая О.Б., Сачкова М.Е. и др.</t>
  </si>
  <si>
    <t>978-5-9558-0376-0</t>
  </si>
  <si>
    <t>37.03.01, 37.04.01, 44.04.02, 39.04.02, 39.04.01, 44.04.01, 39.03.01, 44.03.01, 44.03.05, 44.03.02, 39.03.02</t>
  </si>
  <si>
    <t>693433.04.01</t>
  </si>
  <si>
    <t>Социальная психология образования. Практикум: Уч.пос. / Под ред. Крушельницкой О.Б.-М.:НИЦ ИНФРА-М,2022.-262 с(П)</t>
  </si>
  <si>
    <t>СОЦИАЛЬНАЯ ПСИХОЛОГИЯ ОБРАЗОВАНИЯ. ПРАКТИКУМ</t>
  </si>
  <si>
    <t>Кожухарь Г.С., Кочетков Н.В., Красило Д.А. и др.</t>
  </si>
  <si>
    <t>978-5-16-015003-1</t>
  </si>
  <si>
    <t>37.03.01, 44.04.02, 44.05.01, 44.03.01, 44.03.05, 44.03.04, 44.03.02, 44.03.03</t>
  </si>
  <si>
    <t>Рекомендовано Ученым советом ФГБОУ ВО МГППУ в качестве учебного пособия для студентов бакалавриата, обучающихся по направлениям «Психология» и «Психолого-педагогическое образование»</t>
  </si>
  <si>
    <t>636896.08.01</t>
  </si>
  <si>
    <t>Социальная психология общения...: Моногр. / А.Л.Свенцицкий - 2 изд.-М.:НИЦ ИНФРА-М,2023.-389 с.(П)</t>
  </si>
  <si>
    <t>СОЦИАЛЬНАЯ ПСИХОЛОГИЯ ОБЩЕНИЯ: ТЕОРИЯ И ПРАКТИКА, ИЗД.2</t>
  </si>
  <si>
    <t>Свенцицкий А.Л., Почебут Л.Г., Гуриева С.Д. и др.</t>
  </si>
  <si>
    <t>978-5-16-014192-3</t>
  </si>
  <si>
    <t>26.02.04, 07.02.01, 08.02.01, 37.03.01, 38.03.04, 44.03.01, 44.03.05, 09.02.06</t>
  </si>
  <si>
    <t>Санкт-Петербургский государственный университет</t>
  </si>
  <si>
    <t>636896.03.01</t>
  </si>
  <si>
    <t>Социальная психология общения: Моногр. / Под ред. Свенцицкого А.Л.-М.:НИЦ ИНФРА-М,2018-256с.(П)</t>
  </si>
  <si>
    <t>СОЦИАЛЬНАЯ ПСИХОЛОГИЯ ОБЩЕНИЯ</t>
  </si>
  <si>
    <t>Свенцицкий А.Л., Панфёров В.Н., Куликов Л.В. и др.</t>
  </si>
  <si>
    <t>978-5-16-012186-4</t>
  </si>
  <si>
    <t>043364.17.01</t>
  </si>
  <si>
    <t>Социальная психология. Курс лекций: Уч.пос / В.Г.Крысько - 4 изд.-М.:Вуз.уч., НИЦ ИНФРА-М,2024-256с(П)</t>
  </si>
  <si>
    <t>СОЦИАЛЬНАЯ ПСИХОЛОГИЯ. КУРС ЛЕКЦИЙ, ИЗД.4</t>
  </si>
  <si>
    <t>978-5-9558-0382-1</t>
  </si>
  <si>
    <t>37.03.01, 42.03.02, 42.03.01, 37.05.02, 37.05.01, 38.03.02, 38.03.03, 39.03.01, 37.03.02, 44.03.01, 44.03.05, 44.03.04, 44.03.02, 44.03.03, 39.03.02, 39.03.03</t>
  </si>
  <si>
    <t>Допущено Учебно-методическим объединением по специальностям педагогического образования в качестве учебного пособия для студентов высших учебных заведений, обучающихся по специальности 031000 - Педагогика и психология</t>
  </si>
  <si>
    <t>0411</t>
  </si>
  <si>
    <t>049850.19.01</t>
  </si>
  <si>
    <t>Социальная психология: Уч. / В.А.Соснин - 3 изд. - М.:Форум, ИНФРА-М Изд. Дом,2022 - 335 с.(СПО)(П)</t>
  </si>
  <si>
    <t>СОЦИАЛЬНАЯ ПСИХОЛОГИЯ, ИЗД.3</t>
  </si>
  <si>
    <t>Соснин В.А., Красникова Е.А.</t>
  </si>
  <si>
    <t>978-5-00091-492-2</t>
  </si>
  <si>
    <t>39.01.01, 39.02.01, 39.02.02</t>
  </si>
  <si>
    <t>Допущено Министерством образования РФ в качестве учебника для студентов общеобразовательных учреждений среднего профессионального образования</t>
  </si>
  <si>
    <t>0310</t>
  </si>
  <si>
    <t>381400.06.01</t>
  </si>
  <si>
    <t>Социальная психология: Уч. / Ю.П.Платонов - М.:НИЦ ИНФРА-М,2023 - 336с.(ВО:Бакалавр.)(П)</t>
  </si>
  <si>
    <t>СОЦИАЛЬНАЯ ПСИХОЛОГИЯ</t>
  </si>
  <si>
    <t>ПлатоновЮ.П.</t>
  </si>
  <si>
    <t>978-5-16-011147-6</t>
  </si>
  <si>
    <t>35.02.12, 38.02.07, 38.02.03, 37.03.01, 44.03.01, 44.03.05</t>
  </si>
  <si>
    <t>074200.11.01</t>
  </si>
  <si>
    <t>Социальная психология: Уч. пос. / А.Л.Журавлев, В.А.Соснин - 2 изд.- М.: Форум, 2020-496с.(ВО) (п)</t>
  </si>
  <si>
    <t>СОЦИАЛЬНАЯ ПСИХОЛОГИЯ, ИЗД.2</t>
  </si>
  <si>
    <t>Журавлев А. Л., Соснин В. А., Красников М. А.</t>
  </si>
  <si>
    <t>978-5-91134-494-8</t>
  </si>
  <si>
    <t>Рекомендовано Советом по психологии УМО по классическому университетскому образованию в качестве учебного пособия для студентов вузов, обучающихся по направлению и специальностям "Психология"</t>
  </si>
  <si>
    <t>095240.17.01</t>
  </si>
  <si>
    <t>Социальная психология: Уч.пос. / Н.С.Ефимова - М.:ИД ФОРУМ, НИЦ ИНФРА-М,2023 - 192 с.(СПО)(П)</t>
  </si>
  <si>
    <t>978-5-8199-0723-8</t>
  </si>
  <si>
    <t>00.02.15, 00.01.04</t>
  </si>
  <si>
    <t>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t>
  </si>
  <si>
    <t>074200.12.01</t>
  </si>
  <si>
    <t>Социальная психология: Уч.пос. / Под ред. Журавлева А.Л., - 3 изд.-М.:НИЦ ИНФРА-М,2023.-544 с.(ВО)(п)</t>
  </si>
  <si>
    <t>Грачев А.А., Емельянова Т.П., Журавлев А.Л. и др.</t>
  </si>
  <si>
    <t>978-5-16-016375-8</t>
  </si>
  <si>
    <t>Рекомендовано Советом по психологии УМО по классическому университетскому образованию в качестве учебного пособия для студентов высших учебных заведений, обучающихся по направлению и специальностям психологии</t>
  </si>
  <si>
    <t>Июнь, 2023</t>
  </si>
  <si>
    <t>184900.06.01</t>
  </si>
  <si>
    <t>Социально-педагогическая деятельность... : Уч. пос. / И.А. Липский - М.: Магистр:Инфра-М, 2022-384с (п)</t>
  </si>
  <si>
    <t>СОЦИАЛЬНО-ПЕДАГОГИЧЕСКАЯ ДЕЯТЕЛЬНОСТЬ В УЧРЕЖДЕНИЯХ СОЦИАЛЬНОЙ СФЕРЕ</t>
  </si>
  <si>
    <t>Липский И. А.</t>
  </si>
  <si>
    <t>978-5-9776-0228-0</t>
  </si>
  <si>
    <t>39.04.01, 39.03.01, 39.03.02</t>
  </si>
  <si>
    <t>151450.08.01</t>
  </si>
  <si>
    <t>Социально-психолог. адаптация детей из семей... / В.В.Гриценко - 2 изд. - М.:Форум,НИЦ ИНФРА-М,2023-224 с.(О)</t>
  </si>
  <si>
    <t>СОЦИАЛЬНО-ПСИХОЛОГИЧЕСКАЯ АДАПТАЦИЯ ДЕТЕЙ ИЗ СЕМЕЙ МИГРАНТОВ, ИЗД.2</t>
  </si>
  <si>
    <t>Гриценко В. В., Шустова Н. Е.</t>
  </si>
  <si>
    <t>978-5-91134-512-9</t>
  </si>
  <si>
    <t>37.04.01, 44.04.02, 39.04.02</t>
  </si>
  <si>
    <t>Воронежский государственный университет</t>
  </si>
  <si>
    <t>788907.03.01</t>
  </si>
  <si>
    <t>Специальная дидактика цифр. образ. обуч. с огранич... / Т.Ю.Бутусова.-М.:НИЦ ИНФРА-М,2023.-183с(О)</t>
  </si>
  <si>
    <t>СПЕЦИАЛЬНАЯ ДИДАКТИКА ЦИФРОВОГО ОБРАЗОВАНИЯ ОБУЧАЮЩИХСЯ С ОГРАНИЧЕННЫМИ ВОЗМОЖНОСТЯМИ ЗДОРОВЬЯ</t>
  </si>
  <si>
    <t>Бутусова Т.Ю., Гриншкун А.В., Закрепина А.В. и др.</t>
  </si>
  <si>
    <t>978-5-16-018305-3</t>
  </si>
  <si>
    <t>44.04.02, 44.04.01, 44.04.03, 44.06.01, 44.07.01</t>
  </si>
  <si>
    <t>633717.05.01</t>
  </si>
  <si>
    <t>Специальная педагогика: Уч.: В 3 т.Т.1 / Под ред. Назаровой Н.М. - 2 изд.-М.:НИЦ ИНФРА-М,2023-357 с.(ВО)(П)</t>
  </si>
  <si>
    <t>СПЕЦИАЛЬНАЯ ПЕДАГОГИКА, Т.1, ИЗД.2</t>
  </si>
  <si>
    <t>Пенин Г.Н., Назарова Н.М., Назарова Н.М.</t>
  </si>
  <si>
    <t>978-5-16-018786-0</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</si>
  <si>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44.03.03 «Специальное (дефектологическое) образование» (квалификация (степень) «бакалавр») (протокол №9 от 28.09.2020)</t>
  </si>
  <si>
    <t>092150.03.01</t>
  </si>
  <si>
    <t>Специальная психология: Шпаргалка -М.:ИЦ РИОР, НИЦ ИНФРА-М, -96 с..-(Шпаргалка [отрывная])(О)</t>
  </si>
  <si>
    <t>СПЕЦИАЛЬНАЯ ПСИХОЛОГИЯ</t>
  </si>
  <si>
    <t>978-5-369-00577-4</t>
  </si>
  <si>
    <t>37.03.01, 44.03.03, 49.03.02</t>
  </si>
  <si>
    <t>429200.10.01</t>
  </si>
  <si>
    <t>Специальные пробл.психолог.консульт.: Уч.пос. / О.О.Андронникова-2 изд.М.:НИЦ ИНФРА-М,2024-352с.(П)</t>
  </si>
  <si>
    <t>СПЕЦИАЛЬНЫЕ ПРОБЛЕМЫ  ПСИХОЛОГИЧЕСКОГО КОНСУЛЬТИРОВАНИЯ, ИЗД.2</t>
  </si>
  <si>
    <t>978-5-16-016165-5</t>
  </si>
  <si>
    <t>37.03.01, 37.04.01, 44.04.02, 44.04.01, 37.05.01, 44.03.01, 44.03.05, 44.03.02</t>
  </si>
  <si>
    <t>429200.06.01</t>
  </si>
  <si>
    <t>Специальные пробл.психолог.консульт.:Уч.пос./О.О.Андронникова-Вуз.уч.,НИЦ ИНФРА-М,2019-348с(Вуз.уч.)</t>
  </si>
  <si>
    <t>СПЕЦИАЛЬНЫЕ ПРОБЛЕМЫ ПСИХОЛОГИЧЕСКОГО КОНСУЛЬТИРОВАНИЯ</t>
  </si>
  <si>
    <t>978-5-9558-0254-1</t>
  </si>
  <si>
    <t>450810.0129.01</t>
  </si>
  <si>
    <t>Стандарты и мониторинг в образовании, 2023, № 5</t>
  </si>
  <si>
    <t>СТАНДАРТЫ И МОНИТОРИНГ В ОБРАЗОВАНИИ, 2023, № 5</t>
  </si>
  <si>
    <t>399300.05.01</t>
  </si>
  <si>
    <t>Становление экол.культуры и разв.ребенка..: Моногр. / С.Н.Николаева - НИЦ ИНФРА-М,2023 - 198с.(Науч.мысль)(о)</t>
  </si>
  <si>
    <t>СТАНОВЛЕНИЕ ЭКОЛОГИЧЕСКОЙ КУЛЬТУРЫ И РАЗВИТИЕ РЕБЕНКА СТАРШЕГО ДОШКОЛЬНОГО ВОЗРАСТА</t>
  </si>
  <si>
    <t>НиколаеваС.Н.</t>
  </si>
  <si>
    <t>978-5-16-011279-4</t>
  </si>
  <si>
    <t>700866.02.01</t>
  </si>
  <si>
    <t>Стилевые проявления при обуч. в усл. информ и цифровизации..: Моногр./Г.А.Никулова-М.:НИЦ ИНФРА-М,2023-173с (П)</t>
  </si>
  <si>
    <t>СТИЛЕВЫЕ ПРОЯВЛЕНИЯ ПРИ ОБУЧЕНИИ  В УСЛОВИЯХ ИНФОРМАТИЗАЦИИ И ЦИФРОВИЗАЦИИ ОБРАЗОВАНИЯ</t>
  </si>
  <si>
    <t>Никулова Г.А., Боброва Л.Н.</t>
  </si>
  <si>
    <t>978-5-16-014837-3</t>
  </si>
  <si>
    <t>Липецкий государственный педагогический университет им. П.П. Семенова-Тян-Шанского</t>
  </si>
  <si>
    <t>813937.01.01</t>
  </si>
  <si>
    <t>Сто знаменитых дефектологов: биографиче. сл. / Т.А.Соловьева.-М.:НИЦ ИНФРА-М,2023.-292 с [12+](п)</t>
  </si>
  <si>
    <t>СТО ЗНАМЕНИТЫХ ДЕФЕКТОЛОГОВ</t>
  </si>
  <si>
    <t>Соловьева Т.А., Коробейников И.А., Тимофеев М.А. и др.</t>
  </si>
  <si>
    <t>978-5-16-019320-5</t>
  </si>
  <si>
    <t>Биографический словарь</t>
  </si>
  <si>
    <t>44.04.03, 44.06.01</t>
  </si>
  <si>
    <t>699204.03.01</t>
  </si>
  <si>
    <t>Студенты России: жизненные приоритеты...: Моногр. / С.Д.Резник -  2 изд. - М.:НИЦ ИНФРА-М,2022-242с(О)</t>
  </si>
  <si>
    <t>СТУДЕНТЫ РОССИИ: ЖИЗНЕННЫЕ ПРИОРИТЕТЫ И СОЦИАЛЬНАЯ УСТОЙЧИВОСТЬ, ИЗД.2</t>
  </si>
  <si>
    <t>Резник С.Д., Черниковская М.В.</t>
  </si>
  <si>
    <t>978-5-16-014743-7</t>
  </si>
  <si>
    <t>39.04.03, 39.03.03</t>
  </si>
  <si>
    <t>328700.04.01</t>
  </si>
  <si>
    <t>Теоретико-методологич. основы формиров. физ.: Моногр./Р.С.Наговицын-ИЦ РИОР:НИЦ ИНФРА-М,2023-142с(о)</t>
  </si>
  <si>
    <t>ТЕОРЕТИКО-МЕТОДОЛОГИЧЕСКИЕ ОСНОВЫ ФОРМИРОВАНИЯ ФИЗИЧЕСКОЙ КУЛЬТУРЫ ЛИЧНОСТИ БУДУЩЕГО ПЕДАГОГА НА ОСНОВЕ МОБИЛЬНОГО ОБУЧЕНИЯ</t>
  </si>
  <si>
    <t>Наговицын Р.С.</t>
  </si>
  <si>
    <t>978-5-369-01413-4</t>
  </si>
  <si>
    <t>49.04.01, 44.04.01</t>
  </si>
  <si>
    <t>Глазовский государственный инженерно-педагогический университет им. В.Г. Короленко</t>
  </si>
  <si>
    <t>682851.06.01</t>
  </si>
  <si>
    <t>Теоретические и метод. осн. физ.восп..: Уч.пос./Под ред.Козловой С.А.-2изд.-М.:НИЦ ИНФРА-М,2024-508(СПО)</t>
  </si>
  <si>
    <t>ТЕОРЕТИЧЕСКИЕ И МЕТОДИЧЕСКИЕ ОСНОВЫ ФИЗИЧЕСКОГО ВОСПИТАНИЯ И РАЗВИТИЯ ДЕТЕЙ РАННЕГО И ДОШКОЛЬНОГО ВОЗРАСТА, ИЗД.2</t>
  </si>
  <si>
    <t>978-5-16-013905-0</t>
  </si>
  <si>
    <t>49.02.01, 44.02.01</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</si>
  <si>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специальностям 44.02.01 «Дошкольное образование», 44.02.03 «Педагогика дополнительного образования», 44.02.04 «Специальное дошкольное образование»</t>
  </si>
  <si>
    <t>379500.08.01</t>
  </si>
  <si>
    <t>Теория и метод.ознакомл. дошк.с соц.миром: Уч./С.А.Козлова-М.:НИЦ ИНФРА-М,2024-146с(ВО:Бакалавр.)(о)</t>
  </si>
  <si>
    <t>ТЕОРИЯ И МЕТОДИКА ОЗНАКОМЛЕНИЯ ДОШКОЛЬНИКОВ С СОЦИАЛЬНЫМ МИРОМ</t>
  </si>
  <si>
    <t>Козлова С.А., Кожокарь С.В., Шукшина С.Е. и др.</t>
  </si>
  <si>
    <t>978-5-16-011139-1</t>
  </si>
  <si>
    <t>632259.04.01</t>
  </si>
  <si>
    <t>Теория и методика восп. и обуч. детей раннего и дошк. возраста: Уч. / С.А.Козлова-М.:НИЦ ИНФРА-М,2023-237с(П)</t>
  </si>
  <si>
    <t>ТЕОРИЯ И МЕТОДИКА ВОСПИТАНИЯ И ОБУЧЕНИЯ ДЕТЕЙ РАННЕГО И ДОШКОЛЬНОГО ВОЗРАСТА</t>
  </si>
  <si>
    <t>Козлова С.А., Шахманова А.Ш., Полосухина Е.О. и др.</t>
  </si>
  <si>
    <t>978-5-16-014068-1</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</si>
  <si>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укрупненной группе специальностей и направлений 44.03.00 «Образование и педагогические науки» (квалификация (степень) «бакалавр») (протокол № 5 от 11.03.2019)</t>
  </si>
  <si>
    <t>734794.04.01</t>
  </si>
  <si>
    <t>Теория и методика воспитания и обуч. детей раннего и дош. возраста: Уч. / С.А.Козлова.-М.:НИЦ ИНФРА-М,2024.-236с(П)</t>
  </si>
  <si>
    <t>978-5-16-016153-2</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</si>
  <si>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специальности 44.02.01 «Дошкольное образование» (протокол № 19 от 09.12.2019)</t>
  </si>
  <si>
    <t>714624.05.01</t>
  </si>
  <si>
    <t>Теория и методика воспитания: Уч. / Под ред. Пидкасистого П.И.-М.:НИЦ ИНФРА-М,2023.-483 с.(ВО)(П)</t>
  </si>
  <si>
    <t>ТЕОРИЯ И МЕТОДИКА ВОСПИТАНИЯ</t>
  </si>
  <si>
    <t>Маленкова Л.И., Пидкасистый П.И.</t>
  </si>
  <si>
    <t>978-5-16-018657-3</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</si>
  <si>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укрупненной группе специальностей и направлениий 44.03.00 «Образование и педагогические науки» (квалификация (степень) «бакалавр») (протокол № 12 от 24.06.2019)</t>
  </si>
  <si>
    <t>786285.01.01</t>
  </si>
  <si>
    <t>Теория и методика матем. развития детей дош...: Уч.пос. / М.Ю.Стожарова-М.:НИЦ ИНФРА-М,2023.-242 с.(п)</t>
  </si>
  <si>
    <t>ТЕОРИЯ И МЕТОДИКА МАТЕМАТИЧЕСКОГО РАЗВИТИЯ ДЕТЕЙ ДОШКОЛЬНОГО ВОЗРАСТА</t>
  </si>
  <si>
    <t>Стожарова М.Ю.</t>
  </si>
  <si>
    <t>978-5-16-017902-5</t>
  </si>
  <si>
    <t>44.02.01, 44.03.01, 44.03.05</t>
  </si>
  <si>
    <t>806233.02.01</t>
  </si>
  <si>
    <t>Теория и методика обуч. матем. в сред. шк.: Уч.пос. / М.И.Денисова-М.:ИЦ РИОР, НИЦ ИНФРА-М,2024.-166 с.(ВО)(п)</t>
  </si>
  <si>
    <t>ТЕОРИЯ И МЕТОДИКА ОБУЧЕНИЯ МАТЕМАТИКЕ В СРЕДНЕЙ ШКОЛЕ</t>
  </si>
  <si>
    <t>Денисова Мария Ивановна</t>
  </si>
  <si>
    <t>978-5-369-01931-3</t>
  </si>
  <si>
    <t>44.02.02, 44.04.01</t>
  </si>
  <si>
    <t>Рязанский государственный университет им. С.А. Есенина</t>
  </si>
  <si>
    <t>281600.07.01</t>
  </si>
  <si>
    <t>Теория и методология истории: Уч. пос. / М.Н.Потемкина - 2 изд. - М.:РИОР, ИЦ РИОР,2023 - 198 с.(П)</t>
  </si>
  <si>
    <t>ТЕОРИЯ И МЕТОДОЛОГИЯ ИСТОРИИ, ИЗД.2</t>
  </si>
  <si>
    <t>Потемкина М.Н.</t>
  </si>
  <si>
    <t>РИОР</t>
  </si>
  <si>
    <t>978-5-369-01351-9</t>
  </si>
  <si>
    <t>46.03.01, 46.04.01</t>
  </si>
  <si>
    <t>740304.02.01</t>
  </si>
  <si>
    <t>Теория и практика персонифицированного обучения: Моногр. / С.В.Кондратьев-М.:НИЦ ИНФРА-М,2021.-273 с.(О)</t>
  </si>
  <si>
    <t>ТЕОРИЯ И ПРАКТИКА ПЕРСОНИФИЦИРОВАННОГО ОБУЧЕНИЯ</t>
  </si>
  <si>
    <t>Кондратьев С.В.</t>
  </si>
  <si>
    <t>978-5-16-016331-4</t>
  </si>
  <si>
    <t>632248.06.01</t>
  </si>
  <si>
    <t>Теория и практика развития проф..: Моногр. / С.Н.Козловская, - 2 изд.-М.:НИЦ ИНФРА-М,2023.-145с.(О)</t>
  </si>
  <si>
    <t>ТЕОРИЯ И ПРАКТИКА РАЗВИТИЯ ПРОФЕССИОНАЛЬНОГО САМООПРЕДЕЛЕНИЯ СТУДЕНТОВ, ИЗД.2</t>
  </si>
  <si>
    <t>978-5-16-011977-9</t>
  </si>
  <si>
    <t>44.04.01, 44.04.04, 44.06.01, 44.03.01</t>
  </si>
  <si>
    <t>734602.01.01</t>
  </si>
  <si>
    <t>Теория и технологии матем. развития детей дош.возраста: Уч.пос. / М.Ю.Стожарова - М.:НИЦ ИНФРА-М,2022-240 с.(ВО)(П)</t>
  </si>
  <si>
    <t>ТЕОРИЯ И ТЕХНОЛОГИИ МАТЕМАТИЧЕСКОГО РАЗВИТИЯ ДЕТЕЙ ДОШКОЛЬНОГО ВОЗРАСТА</t>
  </si>
  <si>
    <t>978-5-16-016976-7</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</si>
  <si>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44.03.01 «Педагогическое образование» (квалификация (степень) «бакалавр») (протокол № 1 от 12.01.2022</t>
  </si>
  <si>
    <t>427500.07.01</t>
  </si>
  <si>
    <t>Теория и технология реш. психолог. пробл.: Уч.пос. / В.В.Гребнева - М.:НИЦ ИНФРА-М,2023 - 192 с.(ВО)(П)</t>
  </si>
  <si>
    <t>ТЕОРИЯ И ТЕХНОЛОГИЯ РЕШЕНИЯ ПСИХОЛОГИЧЕСКИХ ПРОБЛЕМ</t>
  </si>
  <si>
    <t>Гребнева В. В.</t>
  </si>
  <si>
    <t>978-5-16-006363-8</t>
  </si>
  <si>
    <t>37.03.01, 44.04.03, 37.05.01, 44.05.01, 37.03.02, 44.03.02</t>
  </si>
  <si>
    <t>Рекомендовано в качестве учебного пособия для студентов высших учебных заведений, обучающихся по направлениям подготовки 050400 "Психолого-педагогическое образование" и 030300 «Психология»</t>
  </si>
  <si>
    <t>458100.07.01</t>
  </si>
  <si>
    <t>Теория и технология физического воспитания..: Уч. / М.М.Борисова - М.:НИЦ ИНФРА-М,2024-299с.(ВО)(п)</t>
  </si>
  <si>
    <t>ТЕОРИЯ И ТЕХНОЛОГИЯ ФИЗИЧЕСКОГО ВОСПИТАНИЯ И РАЗВИТИЯ РЕБЕНКА</t>
  </si>
  <si>
    <t>Борисова М.М.</t>
  </si>
  <si>
    <t>978-5-16-019440-0</t>
  </si>
  <si>
    <t>687085.01.01</t>
  </si>
  <si>
    <t>Теория обучения: Уч.пос. / Н.А.Шайденко - М.:НИЦ ИНФРА-М,2022 - 195 с.(ВО: Бакалавриат)(П)</t>
  </si>
  <si>
    <t>ТЕОРИЯ ОБУЧЕНИЯ</t>
  </si>
  <si>
    <t>978-5-16-016014-6</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</si>
  <si>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психолого-педагогическим направлениям подготовки (квалификация (степень) «бакалавр») (протокол № 6 от 16.06.2021)</t>
  </si>
  <si>
    <t>739813.01.01</t>
  </si>
  <si>
    <t>Технологии муз. образования: Уч.пос. / Т.В.Надолинская-М.:НИЦ ИНФРА-М,2023.-231 с.(ВО: Бакалавр.)(П)</t>
  </si>
  <si>
    <t>ТЕХНОЛОГИИ МУЗЫКАЛЬНОГО ОБРАЗОВАНИЯ</t>
  </si>
  <si>
    <t>Надолинская Т.В.</t>
  </si>
  <si>
    <t>978-5-16-016513-4</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</si>
  <si>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44.03.01 «Педагогическое образование», 44.03.05 «Педагогическое образование (с двумя профилями подготовки)» (квалификация (степень) «бакалавр») (протокол № 5 от 11.05.2022)</t>
  </si>
  <si>
    <t>Ростовский государственный экономический университет (РИНХ)</t>
  </si>
  <si>
    <t>635714.06.01</t>
  </si>
  <si>
    <t>Технологии орг. профориентац. работы..: Практ.пос. / С.Н.Козловская-2изд.,-М.:НИЦ ИНФРА-М,2024-176с.(о)</t>
  </si>
  <si>
    <t>ТЕХНОЛОГИИ ОРГАНИЗАЦИИ ПРОФОРИЕНТАЦИОННОЙ РАБОТЫ В ШКОЛЕ, ИЗД.2</t>
  </si>
  <si>
    <t>978-5-16-012127-7</t>
  </si>
  <si>
    <t>44.03.01, 44.03.02, 39.03.02</t>
  </si>
  <si>
    <t>706849.01.01</t>
  </si>
  <si>
    <t>Технологии психолог. помощи семьям детей...: Уч. / В.В.Ткачева - 2изд.-М.:НИЦ ИНФРА-М,2023-281с.(п)(СПО)</t>
  </si>
  <si>
    <t>ТЕХНОЛОГИИ ПСИХОЛОГИЧЕСКОЙ ПОМОЩИ СЕМЬЯМ ДЕТЕЙ С ОГРАНИЧЕННЫМИ ВОЗМОЖНОСТЯМИ ЗДОРОВЬЯ, ИЗД.2</t>
  </si>
  <si>
    <t>Ткачева В.В.</t>
  </si>
  <si>
    <t>978-5-16-015123-6</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</si>
  <si>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специальностям 44.02.04 «Специальное дошкольное образование», 44.02.05 «Коррекционная педагогика в начальном образовании» (протокол № 9 от 17.11.2022)</t>
  </si>
  <si>
    <t>0223</t>
  </si>
  <si>
    <t>633393.06.01</t>
  </si>
  <si>
    <t>Технологии психологич. помощи семьям детей...: Уч. / В.В.Ткачева,-2изд.-М.:НИЦ ИНФРА-М,2023-281с.(п)</t>
  </si>
  <si>
    <t>978-5-16-012286-1</t>
  </si>
  <si>
    <t>37.03.01, 44.04.02, 44.04.01, 44.04.03, 44.03.01, 44.03.05, 44.03.02, 44.03.03</t>
  </si>
  <si>
    <t>Рекомендовано в качестве учебника для студентов высших учебных заведений, обучающихся по направлениям подготовки 44.03.03 «Специальное (дефектологическое) образование», 44.03.02 «Психолого-педагогическое образование», 37.03.01 «Психология» (квалификация (степень) «бакалавр»)</t>
  </si>
  <si>
    <t>787325.01.01</t>
  </si>
  <si>
    <t>Технологии фонопедической работы при наруш. голоса: Уч.пос. / Г.Р.Шашкина-М.:НИЦ ИНФРА-М,2023-160с.(ВО: Бак.)(п)</t>
  </si>
  <si>
    <t>ТЕХНОЛОГИИ ФОНОПЕДИЧЕСКОЙ РАБОТЫ ПРИ НАРУШЕНИЯХ ГОЛОСА</t>
  </si>
  <si>
    <t>Шашкина Г.Р., Журавлева Ж.И., Агаева В.Е. и др.</t>
  </si>
  <si>
    <t>978-5-16-017967-4</t>
  </si>
  <si>
    <t>641685.05.01</t>
  </si>
  <si>
    <t>Технология  формиров. навыка активного чтения:Уч.практ.пос./Т.А.Семенова-М.:НИЦ ИНФРА-М,2024-103с(О)</t>
  </si>
  <si>
    <t>ТЕХНОЛОГИЯ  ФОРМИРОВАНИЯ  НАВЫКА АКТИВНОГО ЧТЕНИЯ</t>
  </si>
  <si>
    <t>978-5-16-012627-2</t>
  </si>
  <si>
    <t>44.04.01, 44.03.01, 45.03.01</t>
  </si>
  <si>
    <t>Рекомендовано в качестве учебного пособия для студентов высших учебных заведений, обучающихся по направлениям подготовки  44.03.01 «Педагогическое образование», 44.03.02 «Психолого-педагогическое образование» (квалификация (степень) «бакалавр»)</t>
  </si>
  <si>
    <t>700915.03.01</t>
  </si>
  <si>
    <t>Технология интерактивного обуч.: Уч.мет.пос. / С.С.Кашлев - М.:НИЦ ИНФРА-М,2024-239 с.(Наука и практика)(П)</t>
  </si>
  <si>
    <t>ТЕХНОЛОГИЯ ИНТЕРАКТИВНОГО ОБУЧЕНИЯ</t>
  </si>
  <si>
    <t>978-5-16-015453-4</t>
  </si>
  <si>
    <t>00.05.15, 00.03.15, 44.04.02, 44.04.01, 44.04.04, 44.06.01, 44.03.01</t>
  </si>
  <si>
    <t>Рекомендовано Межрегиональным учебно-методическим советом профессионального образования в качестве учебного пособия для учреждений высшего образования, реализующих образовательные программы  по направлениям подготовки магистратуры и при подготовке кадров высшей квалификации по программам подготовки научно- педагогических кадров в аспирантуре (протокол № 12 от 14.12.2020)</t>
  </si>
  <si>
    <t>731128.04.01</t>
  </si>
  <si>
    <t>Технология педагогического целеполагания: Моногр. / Я.С.Турбовской - М.:НИЦ ИНФРА-М,2024 - 174 с.(О)</t>
  </si>
  <si>
    <t>ТЕХНОЛОГИЯ ПЕДАГОГИЧЕСКОГО ЦЕЛЕПОЛАГАНИЯ</t>
  </si>
  <si>
    <t>Турбовской Я.С., Филинова В.С.</t>
  </si>
  <si>
    <t>978-5-16-016018-4</t>
  </si>
  <si>
    <t>714590.04.01</t>
  </si>
  <si>
    <t>Технология: прак. по труд. обучению: Уч.пос. / В.В.Выгонов, - 3 изд.-М.:НИЦ ИНФРА-М,2023.-289 с.(ВО)(П)</t>
  </si>
  <si>
    <t>ТЕХНОЛОГИЯ: ПРАКТИКУМ ПО ТРУДОВОМУ ОБУЧЕНИЮ, ИЗД.3</t>
  </si>
  <si>
    <t>Выгонов В.В.</t>
  </si>
  <si>
    <t>978-5-16-017059-6</t>
  </si>
  <si>
    <t>44.03.01, 44.03.04</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</si>
  <si>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44.03.01 «Педагогическое образование», 44.03.04 «Профессиональное обучение (по отраслям)», 44.03.05 «Педагогическое образование (с двумя профилями подготовки)» (квалификация (степень) «бакалавр») (протокол № 16 от 28.10.2019)</t>
  </si>
  <si>
    <t>0322</t>
  </si>
  <si>
    <t>714590.03.01</t>
  </si>
  <si>
    <t>Технология: практикум по трудовому обуч.: Уч.пос. / В.В.Выгонов - 2 изд. - М.:НИЦ ИНФРА-М,2021-257 с.(ВО)(П)</t>
  </si>
  <si>
    <t>ТЕХНОЛОГИЯ: ПРАКТИКУМ ПО ТРУДОВОМУ ОБУЧЕНИЮ, ИЗД.2</t>
  </si>
  <si>
    <t>978-5-16-015502-9</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</si>
  <si>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44.03.01 «Педагогическое образование», 44.03.04 «Профессиональное обучение (по отраслям)», 44.03.05 «Педагогическое образование (с двумя профилями подготовки)» (квалификация (степень) «бакалавр») (протокол № 16 от  28.10.2019)</t>
  </si>
  <si>
    <t>158150.10.01</t>
  </si>
  <si>
    <t>Три главные проблемы подростка с девиантным повед... / В.К.Зарецкий.-М.:Форум,2024.-205 с.(О)</t>
  </si>
  <si>
    <t>ТРИ ГЛАВНЫЕ ПРОБЛЕМЫ ПОДРОСТКА С ДЕВИАНТНЫМ ПОВЕДЕНИЕМ. ПОЧЕМУ ВОЗНИКАЮТ? КАК ПОМОЧЬ?</t>
  </si>
  <si>
    <t>Зарецкий В. К., Смирнова Н. С., Зарецкий Ю. В., Евлашкина Н. М.</t>
  </si>
  <si>
    <t>978-5-91134-547-1</t>
  </si>
  <si>
    <t>37.03.01, 31.05.02, 44.03.01, 44.03.05</t>
  </si>
  <si>
    <t>267600.07.01</t>
  </si>
  <si>
    <t>Труд студента:ступени успеха..: Уч.пос. / Г.А.Воронцов - 2изд.-М.:НИЦ ИНФРА-М,2023-256с.(ВО:Бак.)(о)</t>
  </si>
  <si>
    <t>ТРУД  СТУДЕНТА: СТУПЕНИ УСПЕХА НА ПУТИ К ДИПЛОМУ, ИЗД.2</t>
  </si>
  <si>
    <t>Воронцов Г. А.</t>
  </si>
  <si>
    <t>978-5-16-009594-3</t>
  </si>
  <si>
    <t>Рекомендовано Южным отделением Российской Академии образования в качестве учебного пособия для студентов высших учебных заведений</t>
  </si>
  <si>
    <t>Донской государственный технический университет</t>
  </si>
  <si>
    <t>395600.06.01</t>
  </si>
  <si>
    <t>Тьютор в образоват.пространстве: Уч.пос. / Сергеева В.П.-М.:НИЦ ИНФРА-М,2024.-192с(ВО: Магистр.)(П)</t>
  </si>
  <si>
    <t>ТЬЮТОР В ОБРАЗОВАТЕЛЬНОМ ПРОСТРАНСТВЕ</t>
  </si>
  <si>
    <t>Сергеева В.П., Сергеева И.С., Сороковых Г.В. и др.</t>
  </si>
  <si>
    <t>978-5-16-011228-2</t>
  </si>
  <si>
    <t>641718.07.01</t>
  </si>
  <si>
    <t>Тьютор и воспитанник...: Моногр. / Под ред. Сластенина В.А. - 2 изд. - М.:НИЦ ИНФРА-М,2024 - 72с.(О)</t>
  </si>
  <si>
    <t>ТЬЮТОР И ВОСПИТАННИК: ПЕДАГОГИЧЕСКОЕ ВЗАИМОДЕЙСТВИЕ СИСТЕМ ЦЕННОСТЕЙ, ИЗД.2</t>
  </si>
  <si>
    <t>Яковлев С.В., Сластенин В.А.</t>
  </si>
  <si>
    <t>978-5-16-012356-1</t>
  </si>
  <si>
    <t>44.02.02, 44.02.03, 44.04.01, 44.03.01, 44.03.05</t>
  </si>
  <si>
    <t>682622.03.01</t>
  </si>
  <si>
    <t>Управление изменениями в высшей школе: Моногр. / С.Д.Резник и др.-М.:НИЦ ИНФРА-М,2022.-388 с..-(Науч.мысль)(О)</t>
  </si>
  <si>
    <t>УПРАВЛЕНИЕ ИЗМЕНЕНИЯМИ В ВЫСШЕЙ ШКОЛЕ</t>
  </si>
  <si>
    <t>Резник С.Д., Амбарова П.А., Архипова М.Ю. и др.</t>
  </si>
  <si>
    <t>978-5-16-017148-7</t>
  </si>
  <si>
    <t>44.04.01, 38.04.02</t>
  </si>
  <si>
    <t>466050.08.01</t>
  </si>
  <si>
    <t>Управление шк.: организац.и псих.-педагог.аспекты:Слов./А.М.Моисеев-М.:Вуз.уч.,НИЦ ИНФРА-М,2024-227с(П)</t>
  </si>
  <si>
    <t>УПРАВЛЕНИЕ ШКОЛОЙ: ОРГАНИЗАЦИОННЫЕ И ПСИХОЛОГО-ПЕДАГОГИЧЕСКИЕ АСПЕКТЫ</t>
  </si>
  <si>
    <t>Моисеев А.М., Хван А.А., Капто А.Е. и др.</t>
  </si>
  <si>
    <t>978-5-9558-0368-5</t>
  </si>
  <si>
    <t>Словарь-справочник</t>
  </si>
  <si>
    <t>44.04.02, 44.04.01, 44.04.04, 44.06.01, 44.07.01, 44.03.01, 44.03.02</t>
  </si>
  <si>
    <t>Рекомендовано УМО в области подготовки педагогических кадров и УМО по психолого-педагогическому образованию в качестве учебного пособия для студентов вузов, обучающихся по направлениям 44.03.01 (050100) «Педагогическое образование» и 44.03.02 (050400</t>
  </si>
  <si>
    <t>216100.06.01</t>
  </si>
  <si>
    <t>Урок математики в дореволюц. средней школе: Моногр./ О.А.Саввина-М.:НИЦ ИНФРА-М,2023-80с.(Науч.мысль)(О)</t>
  </si>
  <si>
    <t>УРОК МАТЕМАТИКИ В ДОРЕВОЛЮЦИОННОЙ СРЕДНЕЙ ШКОЛЕ</t>
  </si>
  <si>
    <t>Саввина О.А., Марушкина И.А.</t>
  </si>
  <si>
    <t>978-5-16-006909-8</t>
  </si>
  <si>
    <t>44.04.04, 44.03.01, 44.03.05, 44.03.04</t>
  </si>
  <si>
    <t>719349.05.01</t>
  </si>
  <si>
    <t>Урок технологии в начальной школе...: Уч.мет.пос./ Е.В.Алексеенко-М.:НИЦ ИНФРА-М,2024.-202 с.(СПО)(п)</t>
  </si>
  <si>
    <t>УРОК ТЕХНОЛОГИИ В НАЧАЛЬНОЙ ШКОЛЕ. ОРГАНИЗАЦИОННО-МЕТОДИЧЕСКОЕ ОБЕСПЕЧЕНИЕ УЧЕБНОГО ПРОЦЕССА</t>
  </si>
  <si>
    <t>Алексеенко Е.В.</t>
  </si>
  <si>
    <t>978-5-16-015623-1</t>
  </si>
  <si>
    <t>Рекомендовано Межрегиональным учебно-методическим советом профессионального образования в качестве учебно-методического пособия для учебных заведений, реализующих программу среднего профессионального образования по специальности 44.02.02 «Преподавание в начальных классах» (протокол № 12 от 24.06.2019)</t>
  </si>
  <si>
    <t>645574.05.01</t>
  </si>
  <si>
    <t>Урок технологии в начальной школе..: Уч. метод. пос. / Е.В.Алексеенко - М.:НИЦ ИНФРА-М,2023 - 202 с.(П)</t>
  </si>
  <si>
    <t>978-5-16-014294-4</t>
  </si>
  <si>
    <t>44.04.01, 44.03.01, 44.03.05, 44.03.04</t>
  </si>
  <si>
    <t>697700.04.01</t>
  </si>
  <si>
    <t>Физико-химические уч. проекты во внеур. деят. шк.: Кн. для уч... / В.Н.Давыдов-М.:НИЦ ИНФРА-М,2024-242с(П)</t>
  </si>
  <si>
    <t>ФИЗИКО-ХИМИЧЕСКИЕ УЧЕБНЫЕ ПРОЕКТЫ ВО ВНЕУРОЧНОЙ ДЕЯТЕЛЬНОСТИ ШКОЛЬНИКОВ. КНИГА ДЛЯ УЧИТЕЛЯ</t>
  </si>
  <si>
    <t>Давыдов В.Н.</t>
  </si>
  <si>
    <t>978-5-16-015078-9</t>
  </si>
  <si>
    <t>Методическое руководство</t>
  </si>
  <si>
    <t>168200.07.01</t>
  </si>
  <si>
    <t>Физиология поведения: Уч.пос. / Под ред. Саваневского Н.К. - М.:ИНФРА-М, Нов.знание,2022 - 400 с.(ВО)(П)</t>
  </si>
  <si>
    <t>ФИЗИОЛОГИЯ ПОВЕДЕНИЯ</t>
  </si>
  <si>
    <t>Саваневский Н. К., Хомич Г. Е., Саваневский Н. К.</t>
  </si>
  <si>
    <t>978-5-16-005288-5</t>
  </si>
  <si>
    <t>Рек. УМО высших учебных заведений Республики Беларусь по гуманитарному образованию в качестве учебного пособия для студентов высших учебных заведений, обуч. по специальности "Психология"</t>
  </si>
  <si>
    <t>700912.02.01</t>
  </si>
  <si>
    <t>Физическое воспитание детей дош. и...: Уч.мет.пос. / С.В.Гурьев - М.:НИЦ ИНФРА-М,2023 - 218 с.-(П)</t>
  </si>
  <si>
    <t>ФИЗИЧЕСКОЕ ВОСПИТАНИЕ ДЕТЕЙ ДОШКОЛЬНОГО И МЛАДШЕГО ШКОЛЬНОГО ВОЗРАСТА</t>
  </si>
  <si>
    <t>Гурьев С.В.</t>
  </si>
  <si>
    <t>978-5-16-014873-1</t>
  </si>
  <si>
    <t>49.02.01, 44.02.01, 44.02.02</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</si>
  <si>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специальностям 44.02.01 «Дошкольное образование», 44.02.02 «Преподавание в начальных классах» (протокол № 2 от 03.02.2020)</t>
  </si>
  <si>
    <t>674727.01.01</t>
  </si>
  <si>
    <t>Философия воспитания: Моногр. / И.А.Булгакова-М.:НИЦ ИНФРА-М,2023.-221 с.(Науч.мысль)(П)</t>
  </si>
  <si>
    <t>ФИЛОСОФИЯ ВОСПИТАНИЯ</t>
  </si>
  <si>
    <t>978-5-16-017514-0</t>
  </si>
  <si>
    <t>44.04.02, 44.04.04, 44.05.01, 44.06.01</t>
  </si>
  <si>
    <t>405650.08.01</t>
  </si>
  <si>
    <t>Философия образования: иностранный яз.: Моногр./В.И.Дубинский - НИЦ ИНФРА-М, 2023-90с.(Науч. мысль) (о)</t>
  </si>
  <si>
    <t>ФИЛОСОФИЯ ОБРАЗОВАНИЯ: ИНОСТРАННЫЙ ЯЗЫК</t>
  </si>
  <si>
    <t>Дубинский В. И.</t>
  </si>
  <si>
    <t>978-5-16-006278-5</t>
  </si>
  <si>
    <t>813717.01.01</t>
  </si>
  <si>
    <t>Финансовая грамотность рос. студенчества: ключевое условие..: Моногр. / С.Д.Резник-М.:НИЦ ИНФРА-М,2024-331 с.(п)</t>
  </si>
  <si>
    <t>ФИНАНСОВАЯ ГРАМОТНОСТЬ РОССИЙСКОГО СТУДЕНЧЕСТВА: КЛЮЧЕВОЕ УСЛОВИЕ ОБЕСПЕЧЕНИЯ ЭКОНОМИЧЕСКОЙ САМОСТОЯТЕЛЬНОСТИ</t>
  </si>
  <si>
    <t>Резник С.Д., Черниковская М.В., Сазыкина О.А. и др.</t>
  </si>
  <si>
    <t>978-5-16-019142-3</t>
  </si>
  <si>
    <t>38.02.01, 38.03.01, 38.03.02, 38.03.03, 44.03.01, 44.03.05</t>
  </si>
  <si>
    <t>663830.02.01</t>
  </si>
  <si>
    <t>Формирование абилитационной компетентности родителей,: Уч.пос. / Н.Ш.Тюрина-М.:НИЦ ИНФРА-М,2023.-189 с.(ВО)(П)</t>
  </si>
  <si>
    <t>ФОРМИРОВАНИЕ АБИЛИТАЦИОННОЙ КОМПЕТЕНТНОСТИ РОДИТЕЛЕЙ, ВОСПИТЫВАЮЩИХ РЕБЕНКА МЛАДЕНЧЕСКОГО И РАННЕГО ВОЗРАСТА</t>
  </si>
  <si>
    <t>Тюрина Н.Ш.</t>
  </si>
  <si>
    <t>978-5-16-015821-1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</si>
  <si>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44.03.03 «Специальное (дефектологическое) образование» (квалификация (степень) «бакалавр») (протокол № 11 от 09.11.2020)</t>
  </si>
  <si>
    <t>781780.02.01</t>
  </si>
  <si>
    <t>Формирование баз. учебных действий у обучающихся..: Моногр. / И.М.Яковлева-М.:НИЦ ИНФРА-М,2024.-144 с.(о)</t>
  </si>
  <si>
    <t>ФОРМИРОВАНИЕ БАЗОВЫХ УЧЕБНЫХ ДЕЙСТВИЙ У ОБУЧАЮЩИХСЯ С УМСТВЕННОЙ ОТСТАЛОСТЬЮ НА УРОКАХ МАТЕМАТИКИ В НАЧАЛЬНОЙ ШКОЛЕ</t>
  </si>
  <si>
    <t>Яковлева И.М., Скира Е.В.</t>
  </si>
  <si>
    <t>978-5-16-017840-0</t>
  </si>
  <si>
    <t>44.04.03, 44.05.01, 44.06.01</t>
  </si>
  <si>
    <t>717642.01.01</t>
  </si>
  <si>
    <t>Формирование у студентов педагогических профилей...: Моногр./ Т.Г.Неретина-М.:НИЦ ИНФРА-М,2020-117с.(О)</t>
  </si>
  <si>
    <t>ФОРМИРОВАНИЕ У СТУДЕНТОВ ПЕДАГОГИЧЕСКИХ ПРОФИЛЕЙ «ОБРАЗА Я РОДИТЕЛЯ» В ПРОЦЕССЕ ПРОФЕССИОНАЛЬНОЙ ПОДГОТОВКИ В ВУЗЕ</t>
  </si>
  <si>
    <t>Неретина Т.Г., Орехова Т.Ф.</t>
  </si>
  <si>
    <t>978-5-16-015603-3</t>
  </si>
  <si>
    <t>777842.01.01</t>
  </si>
  <si>
    <t>Формирование экологич. мировоззрения шк.: Уч.пос. / Л.Х.Давлетшина-М.:НИЦ ИНФРА-М,2022.-174 с.(ВО)(п)</t>
  </si>
  <si>
    <t>ФОРМИРОВАНИЕ ЭКОЛОГИЧЕСКОГО МИРОВОЗЗРЕНИЯ ШКОЛЬНИКОВ</t>
  </si>
  <si>
    <t>Гринёва Е.А., Давлетшина Л.Х., Бибикова Н.В.</t>
  </si>
  <si>
    <t>978-5-16-017832-5</t>
  </si>
  <si>
    <t>44.04.01, 44.03.01, 44.03.05, 44.03.04, 44.03.02</t>
  </si>
  <si>
    <t>720222.01.01</t>
  </si>
  <si>
    <t>Фрактально-хаотические свойства когнитивных процес.../ В.Г.Каменская-М.:НИЦ ИНФРА-М,2020.-217 с.(О)</t>
  </si>
  <si>
    <t>ФРАКТАЛЬНО-ХАОТИЧЕСКИЕ СВОЙСТВА КОГНИТИВНЫХ ПРОЦЕССОВ: ВОЗРАСТНОЙ АСПЕКТ</t>
  </si>
  <si>
    <t>Каменская В.Г., Томанов Л.В.</t>
  </si>
  <si>
    <t>978-5-16-015748-1</t>
  </si>
  <si>
    <t>37.03.01, 37.06.01, 44.03.05, 44.03.04</t>
  </si>
  <si>
    <t>760263.01.01</t>
  </si>
  <si>
    <t>Фундаментальные основы соц. конфликта: Уч. / М.Ю.Зеленков-М.:НИЦ ИНФРА-М,2023.-321 с.(ВО:Магистр)(п)</t>
  </si>
  <si>
    <t>ФУНДАМЕНТАЛЬНЫЕ ОСНОВЫ СОЦИАЛЬНОГО КОНФЛИКТА</t>
  </si>
  <si>
    <t>Зеленков М.Ю.</t>
  </si>
  <si>
    <t>978-5-16-017263-7</t>
  </si>
  <si>
    <t>41.03.05, 37.04.02, 41.03.06</t>
  </si>
  <si>
    <t>279600.07.01</t>
  </si>
  <si>
    <t>Характеры героев Шекспира: Монография / С.Ю.Поройков - М.:НИЦ ИНФРА-М,2022 - 240 с.-(Науч.мысль)(О)</t>
  </si>
  <si>
    <t>ХАРАКТЕРЫ ГЕРОЕВ ШЕКСПИРА</t>
  </si>
  <si>
    <t>978-5-16-009822-7</t>
  </si>
  <si>
    <t>37.03.01, 37.04.01, 45.04.01, 45.06.01, 44.03.01, 44.03.05, 45.03.01</t>
  </si>
  <si>
    <t>641987.07.01</t>
  </si>
  <si>
    <t>Христианская психология: Уч.пос. / С.В.Кондратьев - М.:НИЦ ИНФРА-М,2024 - 191 с.(ВО)(п)</t>
  </si>
  <si>
    <t>ХРИСТИАНСКАЯ ПСИХОЛОГИЯ</t>
  </si>
  <si>
    <t>Кондратьев С.В., Кондратьева О.В.</t>
  </si>
  <si>
    <t>978-5-16-019210-9</t>
  </si>
  <si>
    <t>37.03.01, 44.04.02, 48.04.01, 44.04.01, 44.03.01, 44.03.02, 48.03.01</t>
  </si>
  <si>
    <t>Для студентов высших образовательных организаций всех форм обучения по направлениям подготовки: 48.03.01 «Теология» (бакалавриат);¶48.04.01 «Теология» (магистратура); 37.03.01 «Психология» (бакалавриат духовных образовательных организаций); 37.04.01 «Психология» (магистратура духовных образовательных организаций); 44.03.02 «Психолого-педагогическое образование» (бакалавриат духовных образовательных организаций); 44.04.02 «Психолого-педагогическое образование» (магистратура духовных образовательных организаций); 44.03.01 «Педагогическое образование» (бакалавриат духовных образовательных организаций); 44.04.01 «Педагогическое образование» (магистратура духовных образовательных организаций). Для обучающихся в казачьих высших образовательных организациях всех форм обучения по всем направлениям профессиональной подготовки</t>
  </si>
  <si>
    <t>780147.01.01</t>
  </si>
  <si>
    <t>Ценностное отношение к семье как основа духовно-нравств... / Т.А.Серебрякова-М.:НИЦ ИНФРА-М,2023.-185 с.(О)</t>
  </si>
  <si>
    <t>ЦЕННОСТНОЕ ОТНОШЕНИЕ К СЕМЬЕ КАК ОСНОВА ДУХОВНО-НРАВСТВЕННОГО СТАНОВЛЕНИЯ ЛИЧНОСТИ</t>
  </si>
  <si>
    <t>Серебрякова Т.А., Конева И.А.</t>
  </si>
  <si>
    <t>978-5-16-018283-4</t>
  </si>
  <si>
    <t>39.04.03, 44.04.02, 39.04.02, 44.04.01, 44.05.01, 39.06.01, 44.06.01</t>
  </si>
  <si>
    <t>671332.03.01</t>
  </si>
  <si>
    <t>Человек рисующий. Отображение иерарх.и инверсив...: Моногр./ Д.А.Севостьянов-М.:НИЦ ИНФРА-М,2024-208с(П)</t>
  </si>
  <si>
    <t>ЧЕЛОВЕК РИСУЮЩИЙ. ОТОБРАЖЕНИЕ ИЕРАРХИЧЕСКИХ И ИНВЕРСИВНЫХ ОТНОШЕНИЙ В ГРАФИЧЕСКОЙ ДЕЯТЕЛЬНОСТИ</t>
  </si>
  <si>
    <t>978-5-16-013504-5</t>
  </si>
  <si>
    <t>37.03.01, 37.05.01, 44.05.01, 31.05.02, 44.03.01, 44.03.05, 44.03.04, 44.03.02, 44.03.03</t>
  </si>
  <si>
    <t>712895.01.01</t>
  </si>
  <si>
    <t>Школьники России: опыт, пробл. и перспективы...: Моногр. / С.Д.Резник - 2 изд.-М.:НИЦ ИНФРА-М,2020.-212с(О)</t>
  </si>
  <si>
    <t>ШКОЛЬНИКИ РОССИИ: ОПЫТ, ПРОБЛЕМЫ И ПЕРСПЕКТИВЫ СТУДЕНТООРИЕНТИРОВАНИЯ, ИЗД.2</t>
  </si>
  <si>
    <t>Резник С.Д., Чемезов И.С., Костромина Т.Д.</t>
  </si>
  <si>
    <t>978-5-16-015477-0</t>
  </si>
  <si>
    <t>690054.03.01</t>
  </si>
  <si>
    <t>Эволюция понятийного аппарата педагог..: Моногр./ М.А.Галагузова-М.:НИЦ ИНФРА-М,2023-137 с.(Науч.мысль)(О)</t>
  </si>
  <si>
    <t>ЭВОЛЮЦИЯ ПОНЯТИЙНОГО АППАРАТА ПЕДАГОГИКИ И ОБРАЗОВАНИЯ</t>
  </si>
  <si>
    <t>Галагузова М.А., Штинова Г.Н.</t>
  </si>
  <si>
    <t>978-5-16-014479-5</t>
  </si>
  <si>
    <t>37.03.01, 46.04.02, 44.04.04, 37.05.01, 44.03.01, 44.03.05, 44.03.03, 51.03.01, 49.03.03, 51.03.05, 51.03.06, 51.03.02</t>
  </si>
  <si>
    <t>689571.02.01</t>
  </si>
  <si>
    <t>Экономика образования: практикум: Уч.пос. / В.И.Столяров-М.:НИЦ ИНФРА-М,2023-207с.(ВО: Бакалавр.)(П)</t>
  </si>
  <si>
    <t>ЭКОНОМИКА ОБРАЗОВАНИЯ: ПРАКТИКУМ</t>
  </si>
  <si>
    <t>Столяров В.И., Поздняк С.Н.</t>
  </si>
  <si>
    <t>978-5-16-014644-7</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</si>
  <si>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направлений 44.03.00 «Образование и педагогические науки» (квалификация (степень) «бакалавр») (протокол № 12 от 24.06.2019)</t>
  </si>
  <si>
    <t>345000.09.01</t>
  </si>
  <si>
    <t>Экономика образования: Уч. / В.И.Столяров - 2 изд. - М.:КУРС, НИЦ ИНФРА-М,2021 - 384 с.(П)</t>
  </si>
  <si>
    <t>ЭКОНОМИКА ОБРАЗОВАНИЯ, ИЗД.2</t>
  </si>
  <si>
    <t>978-5-906923-77-6</t>
  </si>
  <si>
    <t>38.03.01, 44.03.01, 44.03.05, 44.03.04, 44.03.02, 44.03.03</t>
  </si>
  <si>
    <t>Рекомендовано Ученым советом федерального государственного бюджетного образовательного учреждения высшего профессионального образования «Уральский государственный педагогический университет»</t>
  </si>
  <si>
    <t>345000.04.01</t>
  </si>
  <si>
    <t>Экономика образования: Уч. / В.И.Столяров - М.:КУРС, НИЦ ИНФРА-М, 2017.-384 с.(п)</t>
  </si>
  <si>
    <t>ЭКОНОМИКА ОБРАЗОВАНИЯ</t>
  </si>
  <si>
    <t>978-5-906818-33-1</t>
  </si>
  <si>
    <t>469300.07.01</t>
  </si>
  <si>
    <t>Экономика образования: Уч. / О.В.Комарова - М.:НИЦ ИНФРА-М,2024.-205 с.-(ВО: Бакалавриат)(П)</t>
  </si>
  <si>
    <t>Комарова О.В., Зырянова Н.И.</t>
  </si>
  <si>
    <t>978-5-16-011006-6</t>
  </si>
  <si>
    <t>Рекомендовано в качестве учебника для студентов высших учебных заведений, обучающихся по направлениям подготовки 44.03.01 «Педагогическое образование», 44.03.03 «Специальное (дефектологическое) образование», 44.03.05 «Педагогическое образование (с двумя профилями подготовки)» (квалификация (степень) «бакалавр»)</t>
  </si>
  <si>
    <t>Уральский государственный экономический университет</t>
  </si>
  <si>
    <t>789947.02.01</t>
  </si>
  <si>
    <t>Экосистема вузов: трансформация рос. сис. образ./ Под ред. Прокофьева С.Е.-М.:НИЦ ИНФРА-М,2023.-485 с.(П)</t>
  </si>
  <si>
    <t>ЭКОСИСТЕМА ВУЗОВ: ТРАНСФОРМАЦИЯ РОССИЙСКОЙ СИСТЕМЫ ОБРАЗОВАНИЯ</t>
  </si>
  <si>
    <t>Прокофьев С.Е., Каменева Е.А., Солянникова С.П. и др.</t>
  </si>
  <si>
    <t>978-5-16-017986-5</t>
  </si>
  <si>
    <t>38.04.01, 38.04.02, 38.04.04, 38.06.01</t>
  </si>
  <si>
    <t>154340.08.01</t>
  </si>
  <si>
    <t>Экотерапия как средство коррекции страхов детей..: Уч.-мет.пос. / С.О.Грунина-Форум,2024-64с.(ВО) (о)</t>
  </si>
  <si>
    <t>ЭКОТЕРАПИЯ КАК СРЕДСТВО КОРРЕКЦИИ СТРАХОВ ДЕТЕЙ С НАРУШЕНИЯМИ ОПОРНО-ДВИГАТЕЛЬНОГО АППАРАТА</t>
  </si>
  <si>
    <t>Грунина С. О., Киселева Т. В.</t>
  </si>
  <si>
    <t>978-5-91134-526-6</t>
  </si>
  <si>
    <t>Марийский государственный университет</t>
  </si>
  <si>
    <t>270200.09.01</t>
  </si>
  <si>
    <t>Экспериментальная психология: практикум: Уч. пос. / Н.И. Чернецкая. - М.: ИНФРА-М, 2024 - 120 с.(ВО)(о)</t>
  </si>
  <si>
    <t>ЭКСПЕРИМЕНТАЛЬНАЯ ПСИХОЛОГИЯ: ПРАКТИКУМ</t>
  </si>
  <si>
    <t>Чернецкая Н.И.</t>
  </si>
  <si>
    <t>978-5-16-019454-7</t>
  </si>
  <si>
    <t>Рекомендуется в качестве учебного пособия для студентов высших учебных заведений, обучающихся по направлению 37.03.01 (030300) "Психология»</t>
  </si>
  <si>
    <t>Иркутский государственный университет</t>
  </si>
  <si>
    <t>637592.06.01</t>
  </si>
  <si>
    <t>Электронное обуч.в уч.высшего образ.: Уч.мет.пос./ Б.А.Бурняшов-М.:ИЦ РИОР, НИЦ ИНФРА-М,2024-119с(О)</t>
  </si>
  <si>
    <t>ЭЛЕКТРОННОЕ ОБУЧЕНИЕ В УЧРЕЖДЕНИИ ВЫСШЕГО ОБРАЗОВАНИЯ</t>
  </si>
  <si>
    <t>Бурняшов Б.А.</t>
  </si>
  <si>
    <t>978-5-369-01624-4</t>
  </si>
  <si>
    <t>51.04.04, 45.04.02, 47.04.03, 39.04.02, 35.04.08</t>
  </si>
  <si>
    <t>674005.08.01</t>
  </si>
  <si>
    <t>Эмоциональное отверж.реб.родителями...: Моногр./Е.В.Голубева-М.:НИЦ ИНФРА-М,2024-186с(Науч.мысль)(О)</t>
  </si>
  <si>
    <t>ЭМОЦИОНАЛЬНОЕ ОТВЕРЖЕНИЕ РЕБЕНКА РОДИТЕЛЯМИ: ПРИЧИНЫ И ПОСЛЕДСТВИЯ</t>
  </si>
  <si>
    <t>Голубева Е.В., Истратова О.Н.</t>
  </si>
  <si>
    <t>978-5-16-013666-0</t>
  </si>
  <si>
    <t>37.03.01, 37.04.01, 44.04.02, 44.04.01, 44.05.01, 44.03.02</t>
  </si>
  <si>
    <t>125100.07.01</t>
  </si>
  <si>
    <t>Эротико-сексуальное образование и семья: уч. / В.А.Бароненко-М.:Альфа-М, НИЦ ИНФРА-М,2018.-208 с..-(Бакалавриат)(п)</t>
  </si>
  <si>
    <t>ЭРОТИКО-СЕКСУАЛЬНОЕ ОБРАЗОВАНИЕ И СЕМЬЯ</t>
  </si>
  <si>
    <t>Бароненко В. А.</t>
  </si>
  <si>
    <t>Бакалавриат</t>
  </si>
  <si>
    <t>978-5-98281-199-8</t>
  </si>
  <si>
    <t>44.04.04, 44.03.05, 44.03.04</t>
  </si>
  <si>
    <t>Рекомендовано Федеральным государственным учреждением "Федеральный институт развития образования" в качестве учебника для использования в учебном процессе образовательных учреждениях, реализующих программы высшего профессионального образования</t>
  </si>
  <si>
    <t>072920.11.01</t>
  </si>
  <si>
    <t>Этика и психология делового общ.: Уч.пос. / Е.А.Земедлина - 2 изд. - РИОР,ИНФРА-М,2023 - 112 c(ВО:Бакалавр.) (О)</t>
  </si>
  <si>
    <t>ЭТИКА И ПСИХОЛОГИЯ ДЕЛОВОГО ОБЩЕНИЯ, ИЗД.2</t>
  </si>
  <si>
    <t>Карманное учебное пособие</t>
  </si>
  <si>
    <t>978-5-369-00368-8</t>
  </si>
  <si>
    <t>42.03.02, 42.03.01, 43.03.01, 43.03.02, 43.03.03, 38.03.02, 38.03.03, 44.03.01, 44.03.05, 44.03.04, 44.03.02, 44.03.03</t>
  </si>
  <si>
    <t>0209</t>
  </si>
  <si>
    <t>651621.10.01</t>
  </si>
  <si>
    <t>Этническая психология: Уч. / Под ред. Ермакова П.Н. - М.:НИЦ ИНФРА-М,2024-317 с.-(ВО)(п)</t>
  </si>
  <si>
    <t>ЭТНИЧЕСКАЯ ПСИХОЛОГИЯ</t>
  </si>
  <si>
    <t>Ермаков П.Н., Пищик В.И.</t>
  </si>
  <si>
    <t>978-5-16-019448-6</t>
  </si>
  <si>
    <t>Допущено Советом по психологии УМО по классическому университетскому образованию в качестве практико-ориентированного учебника для преподавателей вузов, для студентов (бакалавров, специалистов и магистров) высших учебных заведений, обучающихся по направлениям подготовки ВО 37.03.01 «Психология» (квалификация (степень) «бакалавр»), 37.04.01 «Психология» (квалификация (степень) «магистр»), 37.03.02 «Конфликтология» (квалификация (степень) «бакалавр»)</t>
  </si>
  <si>
    <t>699499.02.01</t>
  </si>
  <si>
    <t>Этнический образ мира: "свои" и "другие": Уч.пос. / В.Ю.Хотинец - М.:НИЦ ИНФРА-М,2022-207 с.(ВО: Бак.)(П)</t>
  </si>
  <si>
    <t>ЭТНИЧЕСКИЙ ОБРАЗ МИРА: "СВОИ" И "ДРУГИЕ"</t>
  </si>
  <si>
    <t>Хотинец В.Ю., Молчанова Е.А.</t>
  </si>
  <si>
    <t>978-5-16-016736-7</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</si>
  <si>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37.03.01 «Психология» (квалификация (степень) «бакалавр») (протокол № 10 от 15.12.2021)</t>
  </si>
  <si>
    <t>733608.01.01</t>
  </si>
  <si>
    <t>Этнокультурное развитие детей...: Уч.пос. / С.Н.Федорова - М.:Форум, НИЦ ИНФРА-М,2020 - 176 с.(П)</t>
  </si>
  <si>
    <t>ЭТНОКУЛЬТУРНОЕ РАЗВИТИЕ ДЕТЕЙ. ПСИХОЛОГО-ПЕДАГОГИЧЕСКОЕ СОПРОВОЖДЕНИЕ</t>
  </si>
  <si>
    <t>Федорова С.Н.</t>
  </si>
  <si>
    <t>978-5-00091-727-5</t>
  </si>
  <si>
    <t>44.02.01, 44.02.02, 44.02.03, 44.02.06</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</si>
  <si>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укрупненной группе специальностей 44.02.00 «Образование и педагогические науки» (протокол № 17 от 11.11.2019)</t>
  </si>
  <si>
    <t>153050.09.01</t>
  </si>
  <si>
    <t>Этнокультурное развитие детей: Псих.-педагог. сопровожд.: Уч. пос. / С.Н.Федорова - М.: Форум,2023-176 (о)</t>
  </si>
  <si>
    <t>Федорова С. Н.</t>
  </si>
  <si>
    <t>978-5-91134-533-4</t>
  </si>
  <si>
    <t>44.04.01, 44.03.01, 44.03.05, 44.03.02</t>
  </si>
  <si>
    <t>284100.08.01</t>
  </si>
  <si>
    <t>Этноцентризм в содержании отечеств. и зарубеж. школ. уч.: Моногр. / В.В.Ковригин -М.:ИНФРА-М, 2024-87с (о)</t>
  </si>
  <si>
    <t>ЭТНОЦЕНТРИЗМ В СОДЕРЖАНИИ ОТЕЧЕСТВЕННЫХ И ЗАРУБЕЖНЫХ ШКОЛЬНЫХ УЧЕБНИКОВ</t>
  </si>
  <si>
    <t>Ковригин В. В.</t>
  </si>
  <si>
    <t>978-5-16-009906-4</t>
  </si>
  <si>
    <t>37.03.01, 46.03.01, 37.04.01, 46.04.01, 39.04.01, 44.04.01, 39.03.01, 44.03.01</t>
  </si>
  <si>
    <t>00.00.00</t>
  </si>
  <si>
    <t>ОБЩИЕ ДИСЦИПЛИНЫ ДЛЯ ВСЕХ СПЕЦИАЛЬНОСТЕЙ</t>
  </si>
  <si>
    <t>00.01.04</t>
  </si>
  <si>
    <t>Психология общения</t>
  </si>
  <si>
    <t>00.02.03</t>
  </si>
  <si>
    <t>Информационные технологии в профессинальной деятельности</t>
  </si>
  <si>
    <t>00.03.01</t>
  </si>
  <si>
    <t>Безопасность жизнедеятельности</t>
  </si>
  <si>
    <t>00.03.11</t>
  </si>
  <si>
    <t>Философия</t>
  </si>
  <si>
    <t>00.03.15</t>
  </si>
  <si>
    <t>Психология и педагогика</t>
  </si>
  <si>
    <t>00.03.16</t>
  </si>
  <si>
    <t>Основы научных исследований</t>
  </si>
  <si>
    <t>00.04.16</t>
  </si>
  <si>
    <t>00.04.17</t>
  </si>
  <si>
    <t>Философские проблемы науки и техники</t>
  </si>
  <si>
    <t>00.05.15</t>
  </si>
  <si>
    <t>00.05.16</t>
  </si>
  <si>
    <t>Методология научных исследований</t>
  </si>
  <si>
    <t>01.00.00</t>
  </si>
  <si>
    <t>МАТЕМАТИКА И МЕХАНИКА</t>
  </si>
  <si>
    <t>01.06.01</t>
  </si>
  <si>
    <t>Математика и механика</t>
  </si>
  <si>
    <t>02.00.00</t>
  </si>
  <si>
    <t>КОМПЬЮТЕРНЫЕ И ИНФОРМАЦИОННЫЕ НАУКИ</t>
  </si>
  <si>
    <t>02.06.01</t>
  </si>
  <si>
    <t>Компьютерные и информационные науки</t>
  </si>
  <si>
    <t>02.07.01</t>
  </si>
  <si>
    <t>03.00.00</t>
  </si>
  <si>
    <t>ФИЗИКА И АСТРОНОМИЯ</t>
  </si>
  <si>
    <t>03.06.01</t>
  </si>
  <si>
    <t>Физика и астрономия</t>
  </si>
  <si>
    <t>04.00.00</t>
  </si>
  <si>
    <t>ХИМИЯ</t>
  </si>
  <si>
    <t>04.06.01</t>
  </si>
  <si>
    <t>Химические науки</t>
  </si>
  <si>
    <t>04.07.01</t>
  </si>
  <si>
    <t>05.00.00</t>
  </si>
  <si>
    <t>НАУКИ О ЗЕМЛЕ</t>
  </si>
  <si>
    <t>05.02.02</t>
  </si>
  <si>
    <t>Гидрология</t>
  </si>
  <si>
    <t>05.03.02</t>
  </si>
  <si>
    <t>География</t>
  </si>
  <si>
    <t>05.06.01</t>
  </si>
  <si>
    <t>Науки о земле</t>
  </si>
  <si>
    <t>06.00.00</t>
  </si>
  <si>
    <t>БИОЛОГИЧЕСКИЕ НАУКИ</t>
  </si>
  <si>
    <t>06.03.01</t>
  </si>
  <si>
    <t>Биология</t>
  </si>
  <si>
    <t>06.03.02</t>
  </si>
  <si>
    <t>Почвоведение</t>
  </si>
  <si>
    <t>06.04.01</t>
  </si>
  <si>
    <t>06.06.01</t>
  </si>
  <si>
    <t>Биологические науки</t>
  </si>
  <si>
    <t>06.07.01</t>
  </si>
  <si>
    <t>07.00.00</t>
  </si>
  <si>
    <t>АРХИТЕКТУРА</t>
  </si>
  <si>
    <t>07.02.01</t>
  </si>
  <si>
    <t>Архитектура</t>
  </si>
  <si>
    <t>07.06.01</t>
  </si>
  <si>
    <t>07.07.01</t>
  </si>
  <si>
    <t>07.09.01</t>
  </si>
  <si>
    <t>07.09.02</t>
  </si>
  <si>
    <t>Реконструкция и реставрация архитектурного наследия</t>
  </si>
  <si>
    <t>07.09.03</t>
  </si>
  <si>
    <t>Дизайн архитектурной среды</t>
  </si>
  <si>
    <t>07.09.04</t>
  </si>
  <si>
    <t>Градостроительство</t>
  </si>
  <si>
    <t>08.00.00</t>
  </si>
  <si>
    <t>ТЕХНИКА И ТЕХНОЛОГИИ СТРОИТЕЛЬСТВА</t>
  </si>
  <si>
    <t>08.02.01</t>
  </si>
  <si>
    <t>Строительство и эксплуатация зданий и сооружений</t>
  </si>
  <si>
    <t>08.06.01</t>
  </si>
  <si>
    <t>Техника и технологии строительства</t>
  </si>
  <si>
    <t>09.00.00</t>
  </si>
  <si>
    <t>ИНФОРМАТИКА И ВЫЧИСЛИТЕЛЬНАЯ ТЕХНИКА</t>
  </si>
  <si>
    <t>09.02.06</t>
  </si>
  <si>
    <t>Сетевое и системное администрирование</t>
  </si>
  <si>
    <t>09.06.01</t>
  </si>
  <si>
    <t>Информатика и вычислительная техника</t>
  </si>
  <si>
    <t>10.00.00</t>
  </si>
  <si>
    <t>ИНФОРМАЦИОННАЯ БЕЗОПАСНОСТЬ</t>
  </si>
  <si>
    <t>10.06.01</t>
  </si>
  <si>
    <t>Информационная безопасность</t>
  </si>
  <si>
    <t>11.00.00</t>
  </si>
  <si>
    <t>ЭЛЕКТРОНИКА, РАДИОТЕХНИКА И СИСТЕМЫ СВЯЗИ</t>
  </si>
  <si>
    <t>11.02.15</t>
  </si>
  <si>
    <t>Инфокоммуникационные сети и системы связи</t>
  </si>
  <si>
    <t>11.04.02</t>
  </si>
  <si>
    <t>Инфокоммуникационные технологии и системы связи</t>
  </si>
  <si>
    <t>11.06.01</t>
  </si>
  <si>
    <t>Электроника, радиотехника и системы связи</t>
  </si>
  <si>
    <t>12.00.00</t>
  </si>
  <si>
    <t>ФОТОНИКА, ПРИБОРОСТРОЕНИЕ, ОПТИЧЕСКИЕ И БИОТЕХНИЧЕСКИЕ СИСТЕМЫ И ТЕХНОЛОГИИ</t>
  </si>
  <si>
    <t>12.02.09</t>
  </si>
  <si>
    <t>Производство и эксплуатация оптических и оптико-электронных приборов и систем</t>
  </si>
  <si>
    <t>12.02.10</t>
  </si>
  <si>
    <t>Монтаж, техническое обслуживание и ремонт биотехнических и медицинских аппаратов и систем</t>
  </si>
  <si>
    <t>12.06.01</t>
  </si>
  <si>
    <t>Фотоника, приборостроение, оптические и биотехнические системы и технологии</t>
  </si>
  <si>
    <t>13.00.00</t>
  </si>
  <si>
    <t>ЭЛЕКТРО- И ТЕПЛОЭНЕРГЕТИКА</t>
  </si>
  <si>
    <t>13.06.01</t>
  </si>
  <si>
    <t>Электро- и теплоэнергетика</t>
  </si>
  <si>
    <t>14.00.00</t>
  </si>
  <si>
    <t>ЯДЕРНАЯ ЭНЕРГЕТИКА И ТЕХНОЛОГИИ</t>
  </si>
  <si>
    <t>14.06.01</t>
  </si>
  <si>
    <t>Ядерная, тепловая и возобновляемая энергетика и сопутствующие технологии</t>
  </si>
  <si>
    <t>15.00.00</t>
  </si>
  <si>
    <t>МАШИНОСТРОЕНИЕ</t>
  </si>
  <si>
    <t>15.01.26</t>
  </si>
  <si>
    <t>Токарь-универсал</t>
  </si>
  <si>
    <t>15.01.27</t>
  </si>
  <si>
    <t>Фрезеровщик-универсал</t>
  </si>
  <si>
    <t>15.01.32</t>
  </si>
  <si>
    <t>Оператор станков с программным управлением</t>
  </si>
  <si>
    <t>15.01.33</t>
  </si>
  <si>
    <t>Токарь на станках с числовым программным управлением</t>
  </si>
  <si>
    <t>15.01.34</t>
  </si>
  <si>
    <t>Фрезеровщик на станках с числовым программным управлением</t>
  </si>
  <si>
    <t>15.01.35</t>
  </si>
  <si>
    <t>Мастер слесарных работ</t>
  </si>
  <si>
    <t>15.01.36</t>
  </si>
  <si>
    <t>Дефектоскопист</t>
  </si>
  <si>
    <t>15.02.07</t>
  </si>
  <si>
    <t>Автоматизация технологических процессов и производств (по отраслям)</t>
  </si>
  <si>
    <t>15.02.10</t>
  </si>
  <si>
    <t>Мехатроника и мобильная робототехника (по отраслям)</t>
  </si>
  <si>
    <t>15.02.14</t>
  </si>
  <si>
    <t>Оснащение средствами автоматизации технологических процессов и производств (по отраслям)</t>
  </si>
  <si>
    <t>15.02.15</t>
  </si>
  <si>
    <t>Технология металлообрабатывающего производства</t>
  </si>
  <si>
    <t>15.04.01</t>
  </si>
  <si>
    <t>Машиностроение</t>
  </si>
  <si>
    <t>15.04.02</t>
  </si>
  <si>
    <t>Технологические машины и оборудование</t>
  </si>
  <si>
    <t>15.04.03</t>
  </si>
  <si>
    <t>Прикладная механика</t>
  </si>
  <si>
    <t>15.04.04</t>
  </si>
  <si>
    <t>Автоматизация технологических процессов и производств</t>
  </si>
  <si>
    <t>15.04.05</t>
  </si>
  <si>
    <t>Конструкторско-технологическое обеспечение машиностроительных производств</t>
  </si>
  <si>
    <t>15.04.06</t>
  </si>
  <si>
    <t>Мехатроника и роботехника</t>
  </si>
  <si>
    <t>15.06.01</t>
  </si>
  <si>
    <t>16.00.00</t>
  </si>
  <si>
    <t>ФИЗИКО-ТЕХНИЧЕСКИЕ НАУКИ И ТЕХНОЛОГИИ</t>
  </si>
  <si>
    <t>16.06.01</t>
  </si>
  <si>
    <t>Физико-техинческие науки и технологии</t>
  </si>
  <si>
    <t>17.00.00</t>
  </si>
  <si>
    <t>ОРУЖИЕ И СИСТЕМЫ ВООРУЖЕНИЯ</t>
  </si>
  <si>
    <t>17.06.01</t>
  </si>
  <si>
    <t>Оружие и системы вооружения</t>
  </si>
  <si>
    <t>18.00.00</t>
  </si>
  <si>
    <t>ХИМИЧЕСКИЕ ТЕХНОЛОГИИ</t>
  </si>
  <si>
    <t>18.06.01</t>
  </si>
  <si>
    <t>&lt;&gt;</t>
  </si>
  <si>
    <t>19.00.00</t>
  </si>
  <si>
    <t>ПРОМЫШЛЕННАЯ ЭКОЛОГИЯ И БИОТЕХНОЛОГИИ</t>
  </si>
  <si>
    <t>19.06.01</t>
  </si>
  <si>
    <t>20.00.00</t>
  </si>
  <si>
    <t>ТЕХНОСФЕРНАЯ БЕЗОПАСНОСТЬ И ПРИРОДООБУСТРОЙСТВО</t>
  </si>
  <si>
    <t>20.04.01</t>
  </si>
  <si>
    <t>Техносферная безопасность</t>
  </si>
  <si>
    <t>20.04.02</t>
  </si>
  <si>
    <t>Природообустройство и водопользование</t>
  </si>
  <si>
    <t>20.06.01</t>
  </si>
  <si>
    <t>Техносферная безопасность</t>
  </si>
  <si>
    <t>20.07.01</t>
  </si>
  <si>
    <t>21.00.00</t>
  </si>
  <si>
    <t>ПРИКЛАДНАЯ ГЕОЛОГИЯ, ГОРНОЕ ДЕЛО, НЕФТЕГАЗОВОЕ ДЕЛО И ГЕОДЕЗИЯ</t>
  </si>
  <si>
    <t>21.03.01</t>
  </si>
  <si>
    <t>Нефтегазовое дело</t>
  </si>
  <si>
    <t>21.04.01</t>
  </si>
  <si>
    <t>21.05.05</t>
  </si>
  <si>
    <t>Физические процессы горного или нефтегазового производства</t>
  </si>
  <si>
    <t>21.05.06</t>
  </si>
  <si>
    <t>Нефтегазовые техника и технологии</t>
  </si>
  <si>
    <t>21.06.01</t>
  </si>
  <si>
    <t>Геология, разведка и разработка полезных ископаемых</t>
  </si>
  <si>
    <t>21.06.02</t>
  </si>
  <si>
    <t>Геодезия</t>
  </si>
  <si>
    <t>22.00.00</t>
  </si>
  <si>
    <t>ТЕХНОЛОГИИ МАТЕРИАЛОВ</t>
  </si>
  <si>
    <t>22.04.02</t>
  </si>
  <si>
    <t>Металлургия</t>
  </si>
  <si>
    <t>22.06.01</t>
  </si>
  <si>
    <t>Технологии материалов</t>
  </si>
  <si>
    <t>23.00.00</t>
  </si>
  <si>
    <t>ТЕХНИКА И ТЕХНОЛОГИИ НАЗЕМНОГО ТРАНСПОРТА</t>
  </si>
  <si>
    <t>23.03.01</t>
  </si>
  <si>
    <t>Технология транспортных процессов</t>
  </si>
  <si>
    <t>23.06.01</t>
  </si>
  <si>
    <t>Техника и технологии наземного транспорта</t>
  </si>
  <si>
    <t>24.00.00</t>
  </si>
  <si>
    <t>АВИАЦИОННАЯ И РАКЕТНО-КОСМИЧЕСКАЯ ТЕХНИКА</t>
  </si>
  <si>
    <t>24.06.01</t>
  </si>
  <si>
    <t>Авиационная и ракетно-космическая техника</t>
  </si>
  <si>
    <t>25.00.00</t>
  </si>
  <si>
    <t>АЭРОНАВИГАЦИЯ И ЭКСПЛУАТАЦИЯ АВИАЦИОННОЙ И РАКЕТНО-КОСМИЧЕСКОЙ ТЕХНИКИ</t>
  </si>
  <si>
    <t>25.06.01</t>
  </si>
  <si>
    <t>Аэронавигация и эксплуатация авиационной и ракетно-космической техники</t>
  </si>
  <si>
    <t>26.00.00</t>
  </si>
  <si>
    <t>ТЕХНИКА И ТЕХНОЛОГИИ КОРАБЛЕСТРОЕНИЯ И ВОДНОГО ТРАНСПОРТА</t>
  </si>
  <si>
    <t>26.02.04</t>
  </si>
  <si>
    <t>Монтаж и техническое обслуживание судовых машин и механизмов</t>
  </si>
  <si>
    <t>26.03.01</t>
  </si>
  <si>
    <t>Управление водным транспортом и гидрографическое обеспечение судоходства</t>
  </si>
  <si>
    <t>26.06.01</t>
  </si>
  <si>
    <t>Техника и технологии кораблестроения и водного транспорта</t>
  </si>
  <si>
    <t>27.00.00</t>
  </si>
  <si>
    <t>УПРАВЛЕНИЕ В ТЕХНИЧЕСКИХ СИСТЕМАХ</t>
  </si>
  <si>
    <t>27.02.06</t>
  </si>
  <si>
    <t>Контроль работы измерительных приборов</t>
  </si>
  <si>
    <t>27.06.01</t>
  </si>
  <si>
    <t>Управление в технических системах</t>
  </si>
  <si>
    <t>28.00.00</t>
  </si>
  <si>
    <t>НАНОТЕХНОЛОГИИ И НАНОМАТЕРИАЛЫ</t>
  </si>
  <si>
    <t>28.04.02</t>
  </si>
  <si>
    <t>Наноинженерия</t>
  </si>
  <si>
    <t>28.06.01</t>
  </si>
  <si>
    <t>Нанотехнологии и наноматериалы</t>
  </si>
  <si>
    <t>29.00.00</t>
  </si>
  <si>
    <t>ТЕХНОЛОГИИ ЛЕГКОЙ ПРОМЫШЛЕННОСТИ</t>
  </si>
  <si>
    <t>29.02.09</t>
  </si>
  <si>
    <t>Печатное дело</t>
  </si>
  <si>
    <t>29.06.01</t>
  </si>
  <si>
    <t>Технологии легкой промышленности</t>
  </si>
  <si>
    <t>30.00.00</t>
  </si>
  <si>
    <t>ФУНДАМЕНТАЛЬНАЯ МЕДИЦИНА</t>
  </si>
  <si>
    <t>30.05.02</t>
  </si>
  <si>
    <t>Медицинская биофизика</t>
  </si>
  <si>
    <t>30.06.01</t>
  </si>
  <si>
    <t>Фундаментальная медицина</t>
  </si>
  <si>
    <t>30.07.01</t>
  </si>
  <si>
    <t>31.00.00</t>
  </si>
  <si>
    <t>КЛИНИЧЕСКАЯ МЕДИЦИНА</t>
  </si>
  <si>
    <t>31.02.01</t>
  </si>
  <si>
    <t>Лечебное дело</t>
  </si>
  <si>
    <t>31.02.02</t>
  </si>
  <si>
    <t>Акушерское дело</t>
  </si>
  <si>
    <t>31.02.04</t>
  </si>
  <si>
    <t>Медицинская оптика</t>
  </si>
  <si>
    <t>31.05.01</t>
  </si>
  <si>
    <t>31.05.02</t>
  </si>
  <si>
    <t>Педиатрия</t>
  </si>
  <si>
    <t>31.06.01</t>
  </si>
  <si>
    <t>Клиническая медицина</t>
  </si>
  <si>
    <t>31.07.01</t>
  </si>
  <si>
    <t>31.08.01</t>
  </si>
  <si>
    <t>Акушерство и гинекология</t>
  </si>
  <si>
    <t>31.08.02</t>
  </si>
  <si>
    <t>Анестезиология-реаниматология</t>
  </si>
  <si>
    <t>31.08.03</t>
  </si>
  <si>
    <t>Токсикология</t>
  </si>
  <si>
    <t>31.08.04</t>
  </si>
  <si>
    <t>Трансфузиология</t>
  </si>
  <si>
    <t>31.08.05</t>
  </si>
  <si>
    <t>Клиническая лабораторная диагностика</t>
  </si>
  <si>
    <t>31.08.06</t>
  </si>
  <si>
    <t>Лабораторная генетика</t>
  </si>
  <si>
    <t>31.08.07</t>
  </si>
  <si>
    <t>Патологическая анатомия</t>
  </si>
  <si>
    <t>31.08.08</t>
  </si>
  <si>
    <t>Радиология</t>
  </si>
  <si>
    <t>31.08.09</t>
  </si>
  <si>
    <t>Рентгенология</t>
  </si>
  <si>
    <t>31.08.10</t>
  </si>
  <si>
    <t>Судебно-медицинская экспертиза</t>
  </si>
  <si>
    <t>31.08.11</t>
  </si>
  <si>
    <t>Ультразвуковая диагностика</t>
  </si>
  <si>
    <t>31.08.12</t>
  </si>
  <si>
    <t>Функциональная диагностика</t>
  </si>
  <si>
    <t>31.08.13</t>
  </si>
  <si>
    <t>Детская кардиология</t>
  </si>
  <si>
    <t>31.08.14</t>
  </si>
  <si>
    <t>Детская онкология</t>
  </si>
  <si>
    <t>31.08.15</t>
  </si>
  <si>
    <t>Детская урология-андрология</t>
  </si>
  <si>
    <t>31.08.16</t>
  </si>
  <si>
    <t>Детская хирургия</t>
  </si>
  <si>
    <t>31.08.17</t>
  </si>
  <si>
    <t>Детская эндокринология</t>
  </si>
  <si>
    <t>31.08.18</t>
  </si>
  <si>
    <t>Неонатология</t>
  </si>
  <si>
    <t>31.08.19</t>
  </si>
  <si>
    <t>31.08.20</t>
  </si>
  <si>
    <t>Психиатрия</t>
  </si>
  <si>
    <t>31.08.21</t>
  </si>
  <si>
    <t>Психиатрия-наркология</t>
  </si>
  <si>
    <t>31.08.22</t>
  </si>
  <si>
    <t>Психотерапия</t>
  </si>
  <si>
    <t>31.08.23</t>
  </si>
  <si>
    <t>Сексология</t>
  </si>
  <si>
    <t>31.08.24</t>
  </si>
  <si>
    <t>Судебно-психиатрическая экспертиза</t>
  </si>
  <si>
    <t>31.08.25</t>
  </si>
  <si>
    <t>Авиационная и космическая медицина</t>
  </si>
  <si>
    <t>31.08.26</t>
  </si>
  <si>
    <t>Аллергология и иммунология</t>
  </si>
  <si>
    <t>31.08.27</t>
  </si>
  <si>
    <t>Водолазная медицина</t>
  </si>
  <si>
    <t>31.08.28</t>
  </si>
  <si>
    <t>Гастроэнтерология</t>
  </si>
  <si>
    <t>31.08.29</t>
  </si>
  <si>
    <t>Гематология</t>
  </si>
  <si>
    <t>31.08.30</t>
  </si>
  <si>
    <t>Генетика</t>
  </si>
  <si>
    <t>31.08.31</t>
  </si>
  <si>
    <t>Гериатрия</t>
  </si>
  <si>
    <t>31.08.32</t>
  </si>
  <si>
    <t>Дерматовенерология</t>
  </si>
  <si>
    <t>31.08.33</t>
  </si>
  <si>
    <t>Диабетология</t>
  </si>
  <si>
    <t>31.08.34</t>
  </si>
  <si>
    <t>Диетология</t>
  </si>
  <si>
    <t>31.08.35</t>
  </si>
  <si>
    <t>Инфекционные болезни</t>
  </si>
  <si>
    <t>31.08.36</t>
  </si>
  <si>
    <t>Кардиология</t>
  </si>
  <si>
    <t>31.08.37</t>
  </si>
  <si>
    <t>Клиническая фармакология</t>
  </si>
  <si>
    <t>31.08.38</t>
  </si>
  <si>
    <t>Косметология</t>
  </si>
  <si>
    <t>31.08.39</t>
  </si>
  <si>
    <t>Лечебная физкультура и спортивная медицина</t>
  </si>
  <si>
    <t>31.08.40</t>
  </si>
  <si>
    <t>Мануальная терапия</t>
  </si>
  <si>
    <t>31.08.41</t>
  </si>
  <si>
    <t>Медико-социальная экспертиза</t>
  </si>
  <si>
    <t>31.08.42</t>
  </si>
  <si>
    <t>Неврология</t>
  </si>
  <si>
    <t>31.08.43</t>
  </si>
  <si>
    <t>Нефрология</t>
  </si>
  <si>
    <t>31.08.44</t>
  </si>
  <si>
    <t>Профпатология</t>
  </si>
  <si>
    <t>31.08.45</t>
  </si>
  <si>
    <t>Пульмонология</t>
  </si>
  <si>
    <t>31.08.46</t>
  </si>
  <si>
    <t>Ревматология</t>
  </si>
  <si>
    <t>31.08.47</t>
  </si>
  <si>
    <t>Рефлексотерапия</t>
  </si>
  <si>
    <t>31.08.48</t>
  </si>
  <si>
    <t>Скорая медицинская помощь</t>
  </si>
  <si>
    <t>31.08.49</t>
  </si>
  <si>
    <t>Терапия</t>
  </si>
  <si>
    <t>31.08.50</t>
  </si>
  <si>
    <t>Физиотерапия</t>
  </si>
  <si>
    <t>31.08.51</t>
  </si>
  <si>
    <t>Фтизиатрия</t>
  </si>
  <si>
    <t>31.08.52</t>
  </si>
  <si>
    <t>Остеопатия</t>
  </si>
  <si>
    <t>31.08.53</t>
  </si>
  <si>
    <t>Эндокринология</t>
  </si>
  <si>
    <t>31.08.54</t>
  </si>
  <si>
    <t>Общая врачебная практика (семейная медицина)</t>
  </si>
  <si>
    <t>31.08.55</t>
  </si>
  <si>
    <t>Колопроктология</t>
  </si>
  <si>
    <t>31.08.56</t>
  </si>
  <si>
    <t>Нейрохирургия</t>
  </si>
  <si>
    <t>31.08.57</t>
  </si>
  <si>
    <t>Онкология</t>
  </si>
  <si>
    <t>31.08.58</t>
  </si>
  <si>
    <t>Оториноларингология</t>
  </si>
  <si>
    <t>31.08.59</t>
  </si>
  <si>
    <t>Офтальмология</t>
  </si>
  <si>
    <t>31.08.60</t>
  </si>
  <si>
    <t>Пластическая хирургия</t>
  </si>
  <si>
    <t>31.08.61</t>
  </si>
  <si>
    <t>Радиотерапия</t>
  </si>
  <si>
    <t>31.08.62</t>
  </si>
  <si>
    <t>Рентгенэндоваскулярные диагностика и лечение</t>
  </si>
  <si>
    <t>31.08.63</t>
  </si>
  <si>
    <t>Сердечно-сосудистая хирургия</t>
  </si>
  <si>
    <t>31.08.64</t>
  </si>
  <si>
    <t>Сурдология-оториноларингология</t>
  </si>
  <si>
    <t>31.08.65</t>
  </si>
  <si>
    <t>Торакальная хирургия</t>
  </si>
  <si>
    <t>31.08.66</t>
  </si>
  <si>
    <t>Травматология и ортопедия</t>
  </si>
  <si>
    <t>31.08.67</t>
  </si>
  <si>
    <t>Хирургия</t>
  </si>
  <si>
    <t>31.08.68</t>
  </si>
  <si>
    <t>Урология</t>
  </si>
  <si>
    <t>31.08.69</t>
  </si>
  <si>
    <t>Челюстно-лицевая хирургия</t>
  </si>
  <si>
    <t>31.08.70</t>
  </si>
  <si>
    <t>Эндоскопия</t>
  </si>
  <si>
    <t>31.08.71</t>
  </si>
  <si>
    <t>Организация здравоохранения и общественное здоровье</t>
  </si>
  <si>
    <t>31.08.72</t>
  </si>
  <si>
    <t>Стоматология общей практики</t>
  </si>
  <si>
    <t>31.08.73</t>
  </si>
  <si>
    <t>Стоматология терапевтическая</t>
  </si>
  <si>
    <t>31.08.74</t>
  </si>
  <si>
    <t>Стоматология хирургическая</t>
  </si>
  <si>
    <t>31.08.75</t>
  </si>
  <si>
    <t>Стоматология ортопедическая</t>
  </si>
  <si>
    <t>31.08.76</t>
  </si>
  <si>
    <t>Стоматология детская</t>
  </si>
  <si>
    <t>31.08.77</t>
  </si>
  <si>
    <t>Ортодонтия</t>
  </si>
  <si>
    <t>32.00.00</t>
  </si>
  <si>
    <t>НАУКИ О ЗДОРОВЬЕ И ПРОФИЛАКТИЧЕСКАЯ МЕДИЦИНА</t>
  </si>
  <si>
    <t>32.02.01</t>
  </si>
  <si>
    <t>Медико-профилактическое дело</t>
  </si>
  <si>
    <t>32.04.01</t>
  </si>
  <si>
    <t>Общественное здравоохранение</t>
  </si>
  <si>
    <t>32.05.01</t>
  </si>
  <si>
    <t>32.06.01</t>
  </si>
  <si>
    <t>32.07.01</t>
  </si>
  <si>
    <t>32.08.01</t>
  </si>
  <si>
    <t>Гигиена детей и подростков</t>
  </si>
  <si>
    <t>32.08.02</t>
  </si>
  <si>
    <t>Гигиена питания</t>
  </si>
  <si>
    <t>32.08.03</t>
  </si>
  <si>
    <t>Гигиена труда</t>
  </si>
  <si>
    <t>32.08.04</t>
  </si>
  <si>
    <t>Гигиеническое воспитание</t>
  </si>
  <si>
    <t>32.08.05</t>
  </si>
  <si>
    <t>Дезинфектология</t>
  </si>
  <si>
    <t>32.08.06</t>
  </si>
  <si>
    <t>Коммунальная гигиена</t>
  </si>
  <si>
    <t>32.08.07</t>
  </si>
  <si>
    <t>Общая гигиена</t>
  </si>
  <si>
    <t>32.08.08</t>
  </si>
  <si>
    <t>Паразитология</t>
  </si>
  <si>
    <t>32.08.09</t>
  </si>
  <si>
    <t>Радиационная гигиена</t>
  </si>
  <si>
    <t>32.08.10</t>
  </si>
  <si>
    <t>Санитарно-гигиенические лабораторные исследования</t>
  </si>
  <si>
    <t>32.08.11</t>
  </si>
  <si>
    <t>Социальная гигиена и организация госсанэпидслужбы</t>
  </si>
  <si>
    <t>32.08.12</t>
  </si>
  <si>
    <t>Эпидемиология</t>
  </si>
  <si>
    <t>32.08.13</t>
  </si>
  <si>
    <t>Вирусология</t>
  </si>
  <si>
    <t>32.08.14</t>
  </si>
  <si>
    <t>Бактериология</t>
  </si>
  <si>
    <t>33.00.00</t>
  </si>
  <si>
    <t>ФАРМАЦИЯ</t>
  </si>
  <si>
    <t>33.02.01</t>
  </si>
  <si>
    <t>Фармация</t>
  </si>
  <si>
    <t>33.05.01</t>
  </si>
  <si>
    <t>33.06.01</t>
  </si>
  <si>
    <t>33.07.01</t>
  </si>
  <si>
    <t>33.08.01</t>
  </si>
  <si>
    <t>Фармацевтическая технология</t>
  </si>
  <si>
    <t>33.08.02</t>
  </si>
  <si>
    <t>Управление и экономика фармации</t>
  </si>
  <si>
    <t>33.08.03</t>
  </si>
  <si>
    <t>Фармацевимческая химия и фармакогнозия</t>
  </si>
  <si>
    <t>34.00.00</t>
  </si>
  <si>
    <t>СЕСТРИНСКОЕ ДЕЛО</t>
  </si>
  <si>
    <t>34.02.01</t>
  </si>
  <si>
    <t>Сестринское дело</t>
  </si>
  <si>
    <t>34.02.02</t>
  </si>
  <si>
    <t>Медицинский массаж (для обучения лиц с ограниченными возможностями здоровья по зрению)</t>
  </si>
  <si>
    <t>34.03.01</t>
  </si>
  <si>
    <t>35.00.00</t>
  </si>
  <si>
    <t>СЕЛЬСКОЕ, ЛЕСНОЕ И РЫБНОЕ ХОЗЯЙСТВО</t>
  </si>
  <si>
    <t>35.02.12</t>
  </si>
  <si>
    <t>Садово-парковое и ландшафтное строительство</t>
  </si>
  <si>
    <t>35.04.08</t>
  </si>
  <si>
    <t>Промышленное рыболовство</t>
  </si>
  <si>
    <t>35.06.01</t>
  </si>
  <si>
    <t>Сельское хозяйство</t>
  </si>
  <si>
    <t>35.06.02</t>
  </si>
  <si>
    <t>Лесное дело</t>
  </si>
  <si>
    <t>35.06.03</t>
  </si>
  <si>
    <t>Рыбное хозяйство</t>
  </si>
  <si>
    <t>35.06.04</t>
  </si>
  <si>
    <t>Технологии, средства механизации и энергетическое оборудование в сельском, лесном и рыбном хозяйстве</t>
  </si>
  <si>
    <t>36.00.00</t>
  </si>
  <si>
    <t>ВЕТЕРИНАРИЯ И ЗООТЕХНИЯ</t>
  </si>
  <si>
    <t>36.06.01</t>
  </si>
  <si>
    <t>Ветеринария и зоотехния</t>
  </si>
  <si>
    <t>37.00.00</t>
  </si>
  <si>
    <t>ПСИХОЛОГИЧЕСКИЕ НАУКИ</t>
  </si>
  <si>
    <t>37.03.02</t>
  </si>
  <si>
    <t>Конфликтология</t>
  </si>
  <si>
    <t>37.04.01</t>
  </si>
  <si>
    <t>37.04.02</t>
  </si>
  <si>
    <t>37.05.01</t>
  </si>
  <si>
    <t>Клиническая психология</t>
  </si>
  <si>
    <t>37.05.02</t>
  </si>
  <si>
    <t>Психология служебной деятельности</t>
  </si>
  <si>
    <t>37.06.01</t>
  </si>
  <si>
    <t>Психологические науки</t>
  </si>
  <si>
    <t>38.00.00</t>
  </si>
  <si>
    <t>ЭКОНОМИКА И УПРАВЛЕНИЕ</t>
  </si>
  <si>
    <t>38.02.01</t>
  </si>
  <si>
    <t>Экономика и бухгалтерский учет (по отраслям)</t>
  </si>
  <si>
    <t>38.02.02</t>
  </si>
  <si>
    <t>Страховое дело (по отраслям)</t>
  </si>
  <si>
    <t>38.02.03</t>
  </si>
  <si>
    <t>Операционная деятельность в логистике</t>
  </si>
  <si>
    <t>38.02.04</t>
  </si>
  <si>
    <t>Коммерция (по отраслям)</t>
  </si>
  <si>
    <t>38.02.05</t>
  </si>
  <si>
    <t>Товароведение и экспертиза качества потребительских товаров</t>
  </si>
  <si>
    <t>38.02.06</t>
  </si>
  <si>
    <t>Финансы</t>
  </si>
  <si>
    <t>38.02.07</t>
  </si>
  <si>
    <t>Банковское дело</t>
  </si>
  <si>
    <t>38.03.01</t>
  </si>
  <si>
    <t>Экономика</t>
  </si>
  <si>
    <t>38.03.02</t>
  </si>
  <si>
    <t>Менеджмент</t>
  </si>
  <si>
    <t>Управление персоналом</t>
  </si>
  <si>
    <t>38.03.04</t>
  </si>
  <si>
    <t>Государственное и муниципальное управление</t>
  </si>
  <si>
    <t>38.03.06</t>
  </si>
  <si>
    <t>Торговое дело</t>
  </si>
  <si>
    <t>38.04.01</t>
  </si>
  <si>
    <t>38.04.02</t>
  </si>
  <si>
    <t>38.04.03</t>
  </si>
  <si>
    <t>38.04.04</t>
  </si>
  <si>
    <t>38.04.05</t>
  </si>
  <si>
    <t>Бизнес-информатика</t>
  </si>
  <si>
    <t>38.04.06</t>
  </si>
  <si>
    <t>38.04.07</t>
  </si>
  <si>
    <t>Товароведение</t>
  </si>
  <si>
    <t>Финансы и кредит</t>
  </si>
  <si>
    <t>38.04.09</t>
  </si>
  <si>
    <t>Государственный аудит</t>
  </si>
  <si>
    <t>38.05.01</t>
  </si>
  <si>
    <t>Экономическая безопасность</t>
  </si>
  <si>
    <t>38.05.02</t>
  </si>
  <si>
    <t>Таможенное дело</t>
  </si>
  <si>
    <t>38.07.02</t>
  </si>
  <si>
    <t>39.00.00</t>
  </si>
  <si>
    <t>СОЦИОЛОГИЯ И СОЦИАЛЬНАЯ РАБОТА</t>
  </si>
  <si>
    <t>39.01.01</t>
  </si>
  <si>
    <t>Социальный работник</t>
  </si>
  <si>
    <t>39.02.01</t>
  </si>
  <si>
    <t>Социальная работа</t>
  </si>
  <si>
    <t>39.02.02</t>
  </si>
  <si>
    <t>Организация сурдокоммуникации</t>
  </si>
  <si>
    <t>39.03.01</t>
  </si>
  <si>
    <t>Социология</t>
  </si>
  <si>
    <t>39.03.02</t>
  </si>
  <si>
    <t>39.03.03</t>
  </si>
  <si>
    <t>Организация работы с молодежью</t>
  </si>
  <si>
    <t>39.04.01</t>
  </si>
  <si>
    <t>39.04.02</t>
  </si>
  <si>
    <t>39.04.03</t>
  </si>
  <si>
    <t>39.06.01</t>
  </si>
  <si>
    <t>Социологические науки</t>
  </si>
  <si>
    <t>39.07.01</t>
  </si>
  <si>
    <t>40.00.00</t>
  </si>
  <si>
    <t>ЮРИСПРУДЕНЦИЯ</t>
  </si>
  <si>
    <t>40.02.02</t>
  </si>
  <si>
    <t>Правоохранительная деятельность</t>
  </si>
  <si>
    <t>40.03.01</t>
  </si>
  <si>
    <t>Юриспруденция</t>
  </si>
  <si>
    <t>40.04.01</t>
  </si>
  <si>
    <t>40.05.01</t>
  </si>
  <si>
    <t>Правовое обеспечение национальной безопасности</t>
  </si>
  <si>
    <t>40.05.02</t>
  </si>
  <si>
    <t>40.05.03</t>
  </si>
  <si>
    <t>Судебная экспертиза</t>
  </si>
  <si>
    <t>40.05.04</t>
  </si>
  <si>
    <t>Судебная и прокурорская деятельность</t>
  </si>
  <si>
    <t>40.06.01</t>
  </si>
  <si>
    <t>41.00.00</t>
  </si>
  <si>
    <t>ПОЛИТИЧЕСКИЕ НАУКИ И РЕГИОНОВЕДЕНИЕ</t>
  </si>
  <si>
    <t>41.03.04</t>
  </si>
  <si>
    <t>Политология</t>
  </si>
  <si>
    <t>41.03.05</t>
  </si>
  <si>
    <t>Международные отношения</t>
  </si>
  <si>
    <t>41.03.06</t>
  </si>
  <si>
    <t>Публичная политика и социальные науки</t>
  </si>
  <si>
    <t>41.04.01</t>
  </si>
  <si>
    <t>Зарубежное регионоведение</t>
  </si>
  <si>
    <t>41.04.02</t>
  </si>
  <si>
    <t>Регионоведение России</t>
  </si>
  <si>
    <t>41.04.03</t>
  </si>
  <si>
    <t>Востоковедение и африканистика</t>
  </si>
  <si>
    <t>41.04.04</t>
  </si>
  <si>
    <t>41.04.05</t>
  </si>
  <si>
    <t>41.04.06</t>
  </si>
  <si>
    <t>Публичная политика</t>
  </si>
  <si>
    <t>41.06.01</t>
  </si>
  <si>
    <t>Политические науки и регионоведение</t>
  </si>
  <si>
    <t>41.07.01</t>
  </si>
  <si>
    <t>42.00.00</t>
  </si>
  <si>
    <t>СРЕДСТВА МАССОВОЙ ИНФОРМАЦИИ И ИНФОРМАЦИОННО-БИБЛИОТЕЧНОЕ ДЕЛО</t>
  </si>
  <si>
    <t>42.03.01</t>
  </si>
  <si>
    <t>Реклама и связи с общественностью</t>
  </si>
  <si>
    <t>42.03.02</t>
  </si>
  <si>
    <t>Журналистика</t>
  </si>
  <si>
    <t>42.03.04</t>
  </si>
  <si>
    <t>Телевидение</t>
  </si>
  <si>
    <t>42.03.05</t>
  </si>
  <si>
    <t>Медиакоммуникации</t>
  </si>
  <si>
    <t>42.04.01</t>
  </si>
  <si>
    <t>42.04.02</t>
  </si>
  <si>
    <t>42.04.03</t>
  </si>
  <si>
    <t>Издательское дело</t>
  </si>
  <si>
    <t>42.04.04</t>
  </si>
  <si>
    <t>42.04.05</t>
  </si>
  <si>
    <t>42.06.01</t>
  </si>
  <si>
    <t>Средства массовой информации и информационно-библиотечное дело</t>
  </si>
  <si>
    <t>43.00.00</t>
  </si>
  <si>
    <t>СЕРВИС И ТУРИЗМ</t>
  </si>
  <si>
    <t>43.02.08</t>
  </si>
  <si>
    <t>Сервис домашнего и коммунального хозяйства</t>
  </si>
  <si>
    <t>43.02.10</t>
  </si>
  <si>
    <t>Туризм</t>
  </si>
  <si>
    <t>43.02.11</t>
  </si>
  <si>
    <t>Гостиничный сервис</t>
  </si>
  <si>
    <t>43.02.12</t>
  </si>
  <si>
    <t>Технология эстетических услуг</t>
  </si>
  <si>
    <t>43.02.13</t>
  </si>
  <si>
    <t>Технология парикмахерского искусства</t>
  </si>
  <si>
    <t>43.02.14</t>
  </si>
  <si>
    <t>Гостиничное дело</t>
  </si>
  <si>
    <t>43.02.15</t>
  </si>
  <si>
    <t>Поварское и кондитерское дело</t>
  </si>
  <si>
    <t>43.03.01</t>
  </si>
  <si>
    <t>Сервис</t>
  </si>
  <si>
    <t>43.03.02</t>
  </si>
  <si>
    <t>43.03.03</t>
  </si>
  <si>
    <t>43.04.01</t>
  </si>
  <si>
    <t>43.04.02</t>
  </si>
  <si>
    <t>43.04.03</t>
  </si>
  <si>
    <t>ОБРАЗОВАНИЕ И ПЕДАГОГИЧЕСКИЕ НАУКИ</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</si>
  <si>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</si>
  <si>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</si>
  <si>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</si>
  <si>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</si>
  <si>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</si>
  <si>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</si>
  <si>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Педагогическое образование</t>
  </si>
  <si>
    <t>Психолого-педагогическое образование</t>
  </si>
  <si>
    <t>Специальное (дефектологическое) образование</t>
  </si>
  <si>
    <t>44.03.04</t>
  </si>
  <si>
    <t>44.03.05</t>
  </si>
  <si>
    <t>Педагогическое образование (с двумя профилями подготовки)</t>
  </si>
  <si>
    <t>44.05.01</t>
  </si>
  <si>
    <t>Педагогика и психология девиантного поведения</t>
  </si>
  <si>
    <t>44.06.01</t>
  </si>
  <si>
    <t>Образование и педагогические науки</t>
  </si>
  <si>
    <t>44.07.01</t>
  </si>
  <si>
    <t>44.07.02</t>
  </si>
  <si>
    <t>45.00.00</t>
  </si>
  <si>
    <t>ЯЗЫКОЗНАНИЕ И ЛИТЕРАТУРОВЕДЕНИЕ</t>
  </si>
  <si>
    <t>45.03.01</t>
  </si>
  <si>
    <t>Филология</t>
  </si>
  <si>
    <t>45.03.02</t>
  </si>
  <si>
    <t>Лингвистика</t>
  </si>
  <si>
    <t>45.03.03</t>
  </si>
  <si>
    <t>Фундаментальная и прикладная лингвистика</t>
  </si>
  <si>
    <t>45.03.04</t>
  </si>
  <si>
    <t>Интеллектуальные системы в гуманитарной сфере</t>
  </si>
  <si>
    <t>45.04.01</t>
  </si>
  <si>
    <t>45.04.02</t>
  </si>
  <si>
    <t>45.04.04</t>
  </si>
  <si>
    <t>45.06.01</t>
  </si>
  <si>
    <t>Языкознание и литературоведение</t>
  </si>
  <si>
    <t>45.07.01</t>
  </si>
  <si>
    <t>46.00.00</t>
  </si>
  <si>
    <t>ИСТОРИЯ И АРХЕОЛОГИЯ</t>
  </si>
  <si>
    <t>46.03.01</t>
  </si>
  <si>
    <t>История</t>
  </si>
  <si>
    <t>46.04.01</t>
  </si>
  <si>
    <t>46.04.02</t>
  </si>
  <si>
    <t>Документоведение и архивоведение</t>
  </si>
  <si>
    <t>46.04.03</t>
  </si>
  <si>
    <t>Антропология и этнология</t>
  </si>
  <si>
    <t>46.06.01</t>
  </si>
  <si>
    <t>Исторические науки и археология</t>
  </si>
  <si>
    <t>47.00.00</t>
  </si>
  <si>
    <t>ФИЛОСОФИЯ, ЭТИКА И РЕЛИГИОВЕДЕНИЕ</t>
  </si>
  <si>
    <t>47.03.01</t>
  </si>
  <si>
    <t>47.04.01</t>
  </si>
  <si>
    <t>47.04.02</t>
  </si>
  <si>
    <t>Прикладная этика</t>
  </si>
  <si>
    <t>47.04.03</t>
  </si>
  <si>
    <t>Религиоведение</t>
  </si>
  <si>
    <t>47.06.01</t>
  </si>
  <si>
    <t>Философия, этика и религиоведение</t>
  </si>
  <si>
    <t>47.07.01</t>
  </si>
  <si>
    <t>48.00.00</t>
  </si>
  <si>
    <t>ТЕОЛОГИЯ</t>
  </si>
  <si>
    <t>48.03.01</t>
  </si>
  <si>
    <t>Теология</t>
  </si>
  <si>
    <t>48.04.01</t>
  </si>
  <si>
    <t>48.06.01</t>
  </si>
  <si>
    <t>49.00.00</t>
  </si>
  <si>
    <t>ФИЗИЧЕСКАЯ КУЛЬТУРА И СПОРТ</t>
  </si>
  <si>
    <t>49.02.01</t>
  </si>
  <si>
    <t>Физическая культура</t>
  </si>
  <si>
    <t>49.02.02</t>
  </si>
  <si>
    <t>Адаптивная физическая культура</t>
  </si>
  <si>
    <t>49.03.01</t>
  </si>
  <si>
    <t>49.03.02</t>
  </si>
  <si>
    <t>Физическая культура для лиц с отклонениями в состоянии здоровья (адаптивная физическая культура)</t>
  </si>
  <si>
    <t>49.03.03</t>
  </si>
  <si>
    <t>Рекреация и спортивно-оздоровительный туризм</t>
  </si>
  <si>
    <t>49.04.01</t>
  </si>
  <si>
    <t>49.04.03</t>
  </si>
  <si>
    <t>Спорт</t>
  </si>
  <si>
    <t>49.06.01</t>
  </si>
  <si>
    <t>Физическая культура и спорт</t>
  </si>
  <si>
    <t>49.07.01</t>
  </si>
  <si>
    <t>50.00.00</t>
  </si>
  <si>
    <t>ИСКУССТВОЗНАНИЕ</t>
  </si>
  <si>
    <t>50.06.01</t>
  </si>
  <si>
    <t>Исскуствоведение</t>
  </si>
  <si>
    <t>50.07.01</t>
  </si>
  <si>
    <t>51.00.00</t>
  </si>
  <si>
    <t>КУЛЬТУРОВЕДЕНИЕ И СОЦИОКУЛЬТУРНЫЕ ПРОЕКТЫ</t>
  </si>
  <si>
    <t>51.03.01</t>
  </si>
  <si>
    <t>Культурология</t>
  </si>
  <si>
    <t>51.03.02</t>
  </si>
  <si>
    <t>Народная художественная культура</t>
  </si>
  <si>
    <t>51.03.03</t>
  </si>
  <si>
    <t>Социально-культурная деятельность</t>
  </si>
  <si>
    <t>51.03.05</t>
  </si>
  <si>
    <t>Режессура театрализованных представлений и праздников</t>
  </si>
  <si>
    <t>51.03.06</t>
  </si>
  <si>
    <t>Библиотечно-информационная деятельность</t>
  </si>
  <si>
    <t>51.04.01</t>
  </si>
  <si>
    <t>51.04.02</t>
  </si>
  <si>
    <t>51.04.03</t>
  </si>
  <si>
    <t>51.04.04</t>
  </si>
  <si>
    <t>Музеология и охрана объектов культурного и природного наследия</t>
  </si>
  <si>
    <t>51.06.01</t>
  </si>
  <si>
    <t>52.00.00</t>
  </si>
  <si>
    <t>СЦЕНИЧЕСКИЕ ИСКУССТВА И ЛИТЕРАТУРНОЕ ТВОРЧЕСТВО</t>
  </si>
  <si>
    <t>52.03.04</t>
  </si>
  <si>
    <t>Технология художественного оформления спектакля</t>
  </si>
  <si>
    <t>52.03.05</t>
  </si>
  <si>
    <t>Театроведение</t>
  </si>
  <si>
    <t>52.09.01</t>
  </si>
  <si>
    <t>Искусство хореографии (по видам)</t>
  </si>
  <si>
    <t>52.09.02</t>
  </si>
  <si>
    <t>Актерское мастерство (по видам)</t>
  </si>
  <si>
    <t>52.09.03</t>
  </si>
  <si>
    <t>Сценическая речь</t>
  </si>
  <si>
    <t>52.09.04</t>
  </si>
  <si>
    <t>Сценическая пластика и танец</t>
  </si>
  <si>
    <t>52.09.05</t>
  </si>
  <si>
    <t>Искусство театральной режиссуры (по видам)</t>
  </si>
  <si>
    <t>52.09.06</t>
  </si>
  <si>
    <t>Сценография и театральная технология</t>
  </si>
  <si>
    <t>52.09.07</t>
  </si>
  <si>
    <t>Драматургия</t>
  </si>
  <si>
    <t>52.09.08</t>
  </si>
  <si>
    <t>Искусство словесности (по видам)</t>
  </si>
  <si>
    <t>53.00.00</t>
  </si>
  <si>
    <t>МУЗЫКАЛЬНОЕ ИСКУССТВО</t>
  </si>
  <si>
    <t>53.09.01</t>
  </si>
  <si>
    <t>Искусство музыкально-инструментального
исполнительства (по видам)</t>
  </si>
  <si>
    <t>53.09.02</t>
  </si>
  <si>
    <t>Искусство вокального исполнительства (по видам)</t>
  </si>
  <si>
    <t>53.09.03</t>
  </si>
  <si>
    <t>Искусство композиции</t>
  </si>
  <si>
    <t>53.09.04</t>
  </si>
  <si>
    <t>Мастерство музыкальной звукорежиссуры</t>
  </si>
  <si>
    <t>53.09.05</t>
  </si>
  <si>
    <t>Искусство дирижирования (по видам)</t>
  </si>
  <si>
    <t>54.00.00</t>
  </si>
  <si>
    <t>ИЗОБРАЗИТЕЛЬНОЕ И ПРИКЛАДНЫЕ ВИДЫ ИСКУССТВ</t>
  </si>
  <si>
    <t>54.04.01</t>
  </si>
  <si>
    <t>Дизайн</t>
  </si>
  <si>
    <t>54.04.02</t>
  </si>
  <si>
    <t>Декоративно-прикладное искусство и народные промыслы</t>
  </si>
  <si>
    <t>54.09.01</t>
  </si>
  <si>
    <t>Монументально-декоративное мастерство</t>
  </si>
  <si>
    <t>54.09.02</t>
  </si>
  <si>
    <t>Мастерство декоративно-прикладного искусства и народных промыслов (по видам)</t>
  </si>
  <si>
    <t>54.09.03</t>
  </si>
  <si>
    <t>Искусство дизайна (по видам)</t>
  </si>
  <si>
    <t>54.09.04</t>
  </si>
  <si>
    <t>Искусство живописи (по видам)</t>
  </si>
  <si>
    <t>54.09.05</t>
  </si>
  <si>
    <t>Искусство графики (по видам)</t>
  </si>
  <si>
    <t>54.09.06</t>
  </si>
  <si>
    <t>Искусство скульптуры</t>
  </si>
  <si>
    <t>54.09.07</t>
  </si>
  <si>
    <t>Искусство реставрации (по видам)</t>
  </si>
  <si>
    <t>55.00.00</t>
  </si>
  <si>
    <t>ЭКРАННЫЕ ИСКУССТВА</t>
  </si>
  <si>
    <t>55.09.01</t>
  </si>
  <si>
    <t>Режиссура аудиовизуальных искусств (по видам)</t>
  </si>
  <si>
    <t>55.09.02</t>
  </si>
  <si>
    <t>Операторское искусство (по видам)</t>
  </si>
  <si>
    <t>55.09.03</t>
  </si>
  <si>
    <t>Звукорежиссура аудиовизуальных искусств</t>
  </si>
</sst>
</file>

<file path=xl/styles.xml><?xml version="1.0" encoding="utf-8"?>
<styleSheet xmlns="http://schemas.openxmlformats.org/spreadsheetml/2006/main">
  <numFmts count="1">
    <numFmt numFmtId="164" formatCode="[=0]&quot;&quot;;General"/>
  </numFmts>
  <fonts count="12">
    <font>
      <sz val="8"/>
      <name val="Arial"/>
    </font>
    <font>
      <b/>
      <sz val="11"/>
      <color rgb="FF000000"/>
      <name val="Calibri"/>
      <charset val="204"/>
    </font>
    <font>
      <b/>
      <sz val="16"/>
      <color rgb="FF000000"/>
      <name val="Calibri"/>
      <charset val="204"/>
    </font>
    <font>
      <b/>
      <u/>
      <sz val="11"/>
      <color rgb="FF000000"/>
      <name val="Calibri"/>
      <charset val="204"/>
    </font>
    <font>
      <sz val="11"/>
      <color rgb="FF000000"/>
      <name val="Calibri"/>
      <charset val="204"/>
    </font>
    <font>
      <u/>
      <sz val="11"/>
      <color rgb="FF0000FF"/>
      <name val="Calibri"/>
      <charset val="204"/>
    </font>
    <font>
      <sz val="8"/>
      <color rgb="FF000000"/>
      <name val="Arial"/>
      <charset val="204"/>
    </font>
    <font>
      <b/>
      <sz val="8"/>
      <color rgb="FF000000"/>
      <name val="Arial"/>
      <charset val="204"/>
    </font>
    <font>
      <u/>
      <sz val="8"/>
      <color rgb="FF0000FF"/>
      <name val="Calibri"/>
      <charset val="204"/>
    </font>
    <font>
      <b/>
      <sz val="12"/>
      <name val="Arial"/>
      <family val="2"/>
    </font>
    <font>
      <sz val="10"/>
      <name val="Arial"/>
      <family val="2"/>
    </font>
    <font>
      <u/>
      <sz val="8"/>
      <color theme="10"/>
      <name val="Arial"/>
    </font>
  </fonts>
  <fills count="3">
    <fill>
      <patternFill patternType="none"/>
    </fill>
    <fill>
      <patternFill patternType="gray125"/>
    </fill>
    <fill>
      <patternFill patternType="solid">
        <fgColor rgb="FFFAFAD2"/>
        <bgColor auto="1"/>
      </patternFill>
    </fill>
  </fills>
  <borders count="5">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hair">
        <color rgb="FF000000"/>
      </top>
      <bottom style="hair">
        <color rgb="FF000000"/>
      </bottom>
      <diagonal/>
    </border>
  </borders>
  <cellStyleXfs count="2">
    <xf numFmtId="0" fontId="0" fillId="0" borderId="0"/>
    <xf numFmtId="0" fontId="11" fillId="0" borderId="0" applyNumberFormat="0" applyFill="0" applyBorder="0" applyAlignment="0" applyProtection="0">
      <alignment vertical="top"/>
      <protection locked="0"/>
    </xf>
  </cellStyleXfs>
  <cellXfs count="28">
    <xf numFmtId="0" fontId="0" fillId="0" borderId="0" xfId="0"/>
    <xf numFmtId="0" fontId="0" fillId="0" borderId="0" xfId="0" applyAlignment="1">
      <alignment horizontal="left"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left" vertical="center" wrapText="1"/>
    </xf>
    <xf numFmtId="164" fontId="6" fillId="0" borderId="4" xfId="0" applyNumberFormat="1" applyFont="1" applyBorder="1" applyAlignment="1">
      <alignment horizontal="right" vertical="center" wrapText="1"/>
    </xf>
    <xf numFmtId="0" fontId="6" fillId="0" borderId="4" xfId="0" applyFont="1" applyBorder="1" applyAlignment="1">
      <alignment horizontal="center" vertical="center" wrapText="1"/>
    </xf>
    <xf numFmtId="4" fontId="7" fillId="0" borderId="4" xfId="0" applyNumberFormat="1" applyFont="1" applyBorder="1" applyAlignment="1">
      <alignment horizontal="right" vertical="center" wrapText="1"/>
    </xf>
    <xf numFmtId="0" fontId="6" fillId="0" borderId="4" xfId="0" applyFont="1" applyBorder="1" applyAlignment="1">
      <alignment horizontal="left" vertical="center" wrapText="1"/>
    </xf>
    <xf numFmtId="1" fontId="6" fillId="0" borderId="4" xfId="0" applyNumberFormat="1" applyFont="1" applyBorder="1" applyAlignment="1">
      <alignment horizontal="center" vertical="center" wrapText="1"/>
    </xf>
    <xf numFmtId="0" fontId="6" fillId="0" borderId="4" xfId="0" applyFont="1" applyBorder="1" applyAlignment="1">
      <alignment horizontal="center" vertical="top" wrapText="1"/>
    </xf>
    <xf numFmtId="0" fontId="6" fillId="0" borderId="4" xfId="0" applyFont="1" applyBorder="1" applyAlignment="1">
      <alignment horizontal="left" vertical="top" wrapText="1"/>
    </xf>
    <xf numFmtId="0" fontId="8" fillId="0" borderId="4" xfId="0" applyFont="1" applyBorder="1" applyAlignment="1">
      <alignment horizontal="center" vertical="center" wrapText="1"/>
    </xf>
    <xf numFmtId="2" fontId="7" fillId="0" borderId="4" xfId="0" applyNumberFormat="1" applyFont="1" applyBorder="1" applyAlignment="1">
      <alignment horizontal="right" vertical="center" wrapText="1"/>
    </xf>
    <xf numFmtId="0" fontId="0" fillId="0" borderId="0" xfId="0" applyAlignment="1">
      <alignment horizontal="left"/>
    </xf>
    <xf numFmtId="0" fontId="10" fillId="0" borderId="0" xfId="0" applyFont="1" applyAlignment="1">
      <alignment horizontal="left"/>
    </xf>
    <xf numFmtId="0" fontId="1" fillId="0" borderId="1" xfId="0" applyFont="1" applyBorder="1" applyAlignment="1">
      <alignment horizontal="left" wrapText="1"/>
    </xf>
    <xf numFmtId="0" fontId="2" fillId="0" borderId="2" xfId="0" applyFont="1" applyBorder="1" applyAlignment="1">
      <alignment horizontal="center" vertical="top" wrapText="1"/>
    </xf>
    <xf numFmtId="0" fontId="2" fillId="0" borderId="0" xfId="0" applyFont="1" applyAlignment="1">
      <alignment horizontal="center" vertical="top" wrapText="1"/>
    </xf>
    <xf numFmtId="0" fontId="3" fillId="2" borderId="1" xfId="0" applyFont="1" applyFill="1" applyBorder="1" applyAlignment="1">
      <alignment horizontal="left" vertical="top" wrapText="1"/>
    </xf>
    <xf numFmtId="0" fontId="4" fillId="0" borderId="1" xfId="0" applyFont="1" applyBorder="1" applyAlignment="1">
      <alignment horizontal="left" wrapText="1"/>
    </xf>
    <xf numFmtId="0" fontId="1" fillId="2" borderId="2" xfId="0" applyFont="1" applyFill="1" applyBorder="1" applyAlignment="1">
      <alignment horizontal="left" vertical="top" wrapText="1"/>
    </xf>
    <xf numFmtId="0" fontId="1" fillId="2" borderId="0" xfId="0" applyFont="1" applyFill="1" applyAlignment="1">
      <alignment horizontal="left" vertical="top" wrapText="1"/>
    </xf>
    <xf numFmtId="0" fontId="5" fillId="0" borderId="1" xfId="0" applyFont="1" applyBorder="1" applyAlignment="1">
      <alignment horizontal="left" wrapText="1"/>
    </xf>
    <xf numFmtId="0" fontId="9" fillId="0" borderId="0" xfId="0" applyFont="1" applyAlignment="1">
      <alignment horizontal="left" wrapText="1"/>
    </xf>
    <xf numFmtId="0" fontId="10" fillId="0" borderId="0" xfId="0" applyFont="1" applyAlignment="1">
      <alignment horizontal="left" wrapText="1"/>
    </xf>
    <xf numFmtId="0" fontId="11" fillId="0" borderId="1" xfId="1" applyBorder="1" applyAlignment="1" applyProtection="1">
      <alignment horizontal="left" wrapText="1"/>
    </xf>
    <xf numFmtId="0" fontId="11" fillId="0" borderId="4" xfId="1" applyBorder="1" applyAlignment="1" applyProtection="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pageSetUpPr autoPageBreaks="0"/>
  </sheetPr>
  <dimension ref="A1:AA981"/>
  <sheetViews>
    <sheetView tabSelected="1" workbookViewId="0">
      <selection sqref="A1:E1"/>
    </sheetView>
  </sheetViews>
  <sheetFormatPr defaultColWidth="10.5" defaultRowHeight="11.45" customHeight="1"/>
  <cols>
    <col min="1" max="1" width="5.83203125" style="1" customWidth="1"/>
    <col min="2" max="2" width="13.83203125" style="1" customWidth="1"/>
    <col min="3" max="3" width="10.5" style="1" customWidth="1"/>
    <col min="4" max="4" width="53.5" style="1" customWidth="1"/>
    <col min="5" max="5" width="52.6640625" style="1" customWidth="1"/>
    <col min="6" max="6" width="21" style="1" customWidth="1"/>
    <col min="7" max="7" width="13" style="1" customWidth="1"/>
    <col min="8" max="8" width="19.33203125" style="1" customWidth="1"/>
    <col min="9" max="9" width="33.6640625" style="1" customWidth="1"/>
    <col min="10" max="10" width="6.33203125" style="1" customWidth="1"/>
    <col min="11" max="11" width="8.5" style="1" customWidth="1"/>
    <col min="12" max="12" width="8.1640625" style="1" customWidth="1"/>
    <col min="13" max="13" width="21.1640625" style="1" customWidth="1"/>
    <col min="14" max="14" width="43.5" style="1" customWidth="1"/>
    <col min="15" max="15" width="35.5" style="1" customWidth="1"/>
    <col min="16" max="16" width="34" style="1" customWidth="1"/>
    <col min="17" max="17" width="38.1640625" style="1" customWidth="1"/>
    <col min="18" max="19" width="10.5" style="1" customWidth="1"/>
    <col min="20" max="20" width="15.33203125" style="1" customWidth="1"/>
    <col min="21" max="21" width="15.1640625" style="1" customWidth="1"/>
    <col min="22" max="22" width="20.33203125" style="1" customWidth="1"/>
    <col min="23" max="23" width="55.83203125" style="1" customWidth="1"/>
    <col min="24" max="27" width="10.5" style="1" customWidth="1"/>
  </cols>
  <sheetData>
    <row r="1" spans="1:27" s="1" customFormat="1" ht="15" customHeight="1">
      <c r="A1" s="16" t="s">
        <v>0</v>
      </c>
      <c r="B1" s="16"/>
      <c r="C1" s="16"/>
      <c r="D1" s="16"/>
      <c r="E1" s="16"/>
      <c r="F1" s="17" t="s">
        <v>1</v>
      </c>
      <c r="G1" s="17"/>
      <c r="H1" s="17"/>
      <c r="I1" s="17"/>
      <c r="J1" s="19" t="s">
        <v>2</v>
      </c>
      <c r="K1" s="19"/>
      <c r="L1" s="19"/>
      <c r="M1" s="19"/>
      <c r="N1" s="19"/>
      <c r="O1" s="19"/>
    </row>
    <row r="2" spans="1:27" s="1" customFormat="1" ht="15" customHeight="1">
      <c r="A2" s="20" t="s">
        <v>3</v>
      </c>
      <c r="B2" s="20"/>
      <c r="C2" s="20"/>
      <c r="D2" s="20"/>
      <c r="E2" s="20"/>
      <c r="F2" s="18"/>
      <c r="G2" s="18"/>
      <c r="H2" s="18"/>
      <c r="I2" s="18"/>
      <c r="J2" s="21" t="s">
        <v>4</v>
      </c>
      <c r="K2" s="21"/>
      <c r="L2" s="21"/>
      <c r="M2" s="21"/>
      <c r="N2" s="21"/>
      <c r="O2" s="21"/>
    </row>
    <row r="3" spans="1:27" s="1" customFormat="1" ht="15" customHeight="1">
      <c r="A3" s="20" t="s">
        <v>5</v>
      </c>
      <c r="B3" s="20"/>
      <c r="C3" s="20"/>
      <c r="D3" s="20"/>
      <c r="E3" s="20"/>
      <c r="F3" s="18"/>
      <c r="G3" s="18"/>
      <c r="H3" s="18"/>
      <c r="I3" s="18"/>
      <c r="J3" s="22"/>
      <c r="K3" s="22"/>
      <c r="L3" s="22"/>
      <c r="M3" s="22"/>
      <c r="N3" s="22"/>
      <c r="O3" s="22"/>
    </row>
    <row r="4" spans="1:27" s="1" customFormat="1" ht="15" customHeight="1">
      <c r="A4" s="26" t="str">
        <f>HYPERLINK("mailto:books@infra-m.ru", "mailto:books@infra-m.ru")</f>
        <v>mailto:books@infra-m.ru</v>
      </c>
      <c r="B4" s="23"/>
      <c r="C4" s="23"/>
      <c r="D4" s="23"/>
      <c r="E4" s="23"/>
      <c r="F4" s="18"/>
      <c r="G4" s="18"/>
      <c r="H4" s="18"/>
      <c r="I4" s="18"/>
      <c r="J4" s="22"/>
      <c r="K4" s="22"/>
      <c r="L4" s="22"/>
      <c r="M4" s="22"/>
      <c r="N4" s="22"/>
      <c r="O4" s="22"/>
    </row>
    <row r="5" spans="1:27" s="1" customFormat="1" ht="15" customHeight="1">
      <c r="A5" s="26" t="str">
        <f>HYPERLINK("https://infra-m.ru", "https://infra-m.ru")</f>
        <v>https://infra-m.ru</v>
      </c>
      <c r="B5" s="23"/>
      <c r="C5" s="23"/>
      <c r="D5" s="23"/>
      <c r="E5" s="23"/>
      <c r="F5" s="18"/>
      <c r="G5" s="18"/>
      <c r="H5" s="18"/>
      <c r="I5" s="18"/>
      <c r="J5" s="22"/>
      <c r="K5" s="22"/>
      <c r="L5" s="22"/>
      <c r="M5" s="22"/>
      <c r="N5" s="22"/>
      <c r="O5" s="22"/>
    </row>
    <row r="6" spans="1:27" s="1" customFormat="1" ht="11.1" customHeight="1"/>
    <row r="7" spans="1:27" s="2" customFormat="1" ht="21.95" customHeight="1">
      <c r="A7" s="3" t="s">
        <v>6</v>
      </c>
      <c r="B7" s="3" t="s">
        <v>7</v>
      </c>
      <c r="C7" s="3" t="s">
        <v>8</v>
      </c>
      <c r="D7" s="3" t="s">
        <v>9</v>
      </c>
      <c r="E7" s="3" t="s">
        <v>10</v>
      </c>
      <c r="F7" s="3" t="s">
        <v>11</v>
      </c>
      <c r="G7" s="3" t="s">
        <v>12</v>
      </c>
      <c r="H7" s="3" t="s">
        <v>13</v>
      </c>
      <c r="I7" s="3" t="s">
        <v>14</v>
      </c>
      <c r="J7" s="3" t="s">
        <v>15</v>
      </c>
      <c r="K7" s="3" t="s">
        <v>16</v>
      </c>
      <c r="L7" s="3" t="s">
        <v>17</v>
      </c>
      <c r="M7" s="3" t="s">
        <v>18</v>
      </c>
      <c r="N7" s="3" t="s">
        <v>19</v>
      </c>
      <c r="O7" s="3" t="s">
        <v>20</v>
      </c>
      <c r="P7" s="3" t="s">
        <v>21</v>
      </c>
      <c r="Q7" s="3" t="s">
        <v>22</v>
      </c>
      <c r="R7" s="3" t="s">
        <v>23</v>
      </c>
      <c r="S7" s="3" t="s">
        <v>24</v>
      </c>
      <c r="T7" s="3" t="s">
        <v>25</v>
      </c>
      <c r="U7" s="3" t="s">
        <v>26</v>
      </c>
      <c r="V7" s="3" t="s">
        <v>27</v>
      </c>
      <c r="W7" s="3" t="s">
        <v>28</v>
      </c>
      <c r="X7" s="3" t="s">
        <v>29</v>
      </c>
      <c r="Y7" s="3" t="s">
        <v>30</v>
      </c>
      <c r="Z7" s="3" t="s">
        <v>31</v>
      </c>
      <c r="AA7" s="3" t="s">
        <v>32</v>
      </c>
    </row>
    <row r="8" spans="1:27" s="4" customFormat="1" ht="51.95" customHeight="1">
      <c r="A8" s="5">
        <v>0</v>
      </c>
      <c r="B8" s="6" t="s">
        <v>33</v>
      </c>
      <c r="C8" s="7">
        <v>1930</v>
      </c>
      <c r="D8" s="8" t="s">
        <v>34</v>
      </c>
      <c r="E8" s="8" t="s">
        <v>35</v>
      </c>
      <c r="F8" s="8" t="s">
        <v>36</v>
      </c>
      <c r="G8" s="6" t="s">
        <v>37</v>
      </c>
      <c r="H8" s="6" t="s">
        <v>38</v>
      </c>
      <c r="I8" s="8" t="s">
        <v>39</v>
      </c>
      <c r="J8" s="9">
        <v>1</v>
      </c>
      <c r="K8" s="9">
        <v>509</v>
      </c>
      <c r="L8" s="9">
        <v>2022</v>
      </c>
      <c r="M8" s="8" t="s">
        <v>40</v>
      </c>
      <c r="N8" s="8" t="s">
        <v>41</v>
      </c>
      <c r="O8" s="8" t="s">
        <v>42</v>
      </c>
      <c r="P8" s="6" t="s">
        <v>43</v>
      </c>
      <c r="Q8" s="8" t="s">
        <v>44</v>
      </c>
      <c r="R8" s="10" t="s">
        <v>45</v>
      </c>
      <c r="S8" s="11"/>
      <c r="T8" s="6" t="s">
        <v>46</v>
      </c>
      <c r="U8" s="27" t="str">
        <f>HYPERLINK("https://media.infra-m.ru/1856/1856931/cover/1856931.jpg", "Обложка")</f>
        <v>Обложка</v>
      </c>
      <c r="V8" s="27" t="str">
        <f>HYPERLINK("https://znanium.com/catalog/product/1856931", "Ознакомиться")</f>
        <v>Ознакомиться</v>
      </c>
      <c r="W8" s="8" t="s">
        <v>47</v>
      </c>
      <c r="X8" s="6"/>
      <c r="Y8" s="6"/>
      <c r="Z8" s="6"/>
      <c r="AA8" s="6" t="s">
        <v>48</v>
      </c>
    </row>
    <row r="9" spans="1:27" s="4" customFormat="1" ht="42" customHeight="1">
      <c r="A9" s="5">
        <v>0</v>
      </c>
      <c r="B9" s="6" t="s">
        <v>49</v>
      </c>
      <c r="C9" s="7">
        <v>1590</v>
      </c>
      <c r="D9" s="8" t="s">
        <v>50</v>
      </c>
      <c r="E9" s="8" t="s">
        <v>51</v>
      </c>
      <c r="F9" s="8" t="s">
        <v>52</v>
      </c>
      <c r="G9" s="6" t="s">
        <v>53</v>
      </c>
      <c r="H9" s="6" t="s">
        <v>38</v>
      </c>
      <c r="I9" s="8" t="s">
        <v>54</v>
      </c>
      <c r="J9" s="9">
        <v>1</v>
      </c>
      <c r="K9" s="9">
        <v>342</v>
      </c>
      <c r="L9" s="9">
        <v>2023</v>
      </c>
      <c r="M9" s="8" t="s">
        <v>55</v>
      </c>
      <c r="N9" s="8" t="s">
        <v>56</v>
      </c>
      <c r="O9" s="8" t="s">
        <v>57</v>
      </c>
      <c r="P9" s="6" t="s">
        <v>58</v>
      </c>
      <c r="Q9" s="8" t="s">
        <v>44</v>
      </c>
      <c r="R9" s="10" t="s">
        <v>59</v>
      </c>
      <c r="S9" s="11"/>
      <c r="T9" s="6"/>
      <c r="U9" s="27" t="str">
        <f>HYPERLINK("https://media.infra-m.ru/2037/2037421/cover/2037421.jpg", "Обложка")</f>
        <v>Обложка</v>
      </c>
      <c r="V9" s="27" t="str">
        <f>HYPERLINK("https://znanium.com/catalog/product/1865830", "Ознакомиться")</f>
        <v>Ознакомиться</v>
      </c>
      <c r="W9" s="8" t="s">
        <v>60</v>
      </c>
      <c r="X9" s="6"/>
      <c r="Y9" s="6"/>
      <c r="Z9" s="6"/>
      <c r="AA9" s="6" t="s">
        <v>61</v>
      </c>
    </row>
    <row r="10" spans="1:27" s="4" customFormat="1" ht="42" customHeight="1">
      <c r="A10" s="5">
        <v>0</v>
      </c>
      <c r="B10" s="6" t="s">
        <v>62</v>
      </c>
      <c r="C10" s="13">
        <v>554.9</v>
      </c>
      <c r="D10" s="8" t="s">
        <v>63</v>
      </c>
      <c r="E10" s="8" t="s">
        <v>64</v>
      </c>
      <c r="F10" s="8" t="s">
        <v>65</v>
      </c>
      <c r="G10" s="6" t="s">
        <v>53</v>
      </c>
      <c r="H10" s="6" t="s">
        <v>38</v>
      </c>
      <c r="I10" s="8" t="s">
        <v>66</v>
      </c>
      <c r="J10" s="9">
        <v>1</v>
      </c>
      <c r="K10" s="9">
        <v>143</v>
      </c>
      <c r="L10" s="9">
        <v>2022</v>
      </c>
      <c r="M10" s="8" t="s">
        <v>67</v>
      </c>
      <c r="N10" s="8" t="s">
        <v>41</v>
      </c>
      <c r="O10" s="8" t="s">
        <v>42</v>
      </c>
      <c r="P10" s="6" t="s">
        <v>58</v>
      </c>
      <c r="Q10" s="8" t="s">
        <v>44</v>
      </c>
      <c r="R10" s="10" t="s">
        <v>68</v>
      </c>
      <c r="S10" s="11"/>
      <c r="T10" s="6"/>
      <c r="U10" s="27" t="str">
        <f>HYPERLINK("https://media.infra-m.ru/1855/1855988/cover/1855988.jpg", "Обложка")</f>
        <v>Обложка</v>
      </c>
      <c r="V10" s="27" t="str">
        <f>HYPERLINK("https://znanium.com/catalog/product/1855988", "Ознакомиться")</f>
        <v>Ознакомиться</v>
      </c>
      <c r="W10" s="8" t="s">
        <v>69</v>
      </c>
      <c r="X10" s="6"/>
      <c r="Y10" s="6"/>
      <c r="Z10" s="6"/>
      <c r="AA10" s="6" t="s">
        <v>70</v>
      </c>
    </row>
    <row r="11" spans="1:27" s="4" customFormat="1" ht="51.95" customHeight="1">
      <c r="A11" s="5">
        <v>0</v>
      </c>
      <c r="B11" s="6" t="s">
        <v>71</v>
      </c>
      <c r="C11" s="13">
        <v>970</v>
      </c>
      <c r="D11" s="8" t="s">
        <v>72</v>
      </c>
      <c r="E11" s="8" t="s">
        <v>73</v>
      </c>
      <c r="F11" s="8" t="s">
        <v>74</v>
      </c>
      <c r="G11" s="6" t="s">
        <v>37</v>
      </c>
      <c r="H11" s="6" t="s">
        <v>38</v>
      </c>
      <c r="I11" s="8" t="s">
        <v>75</v>
      </c>
      <c r="J11" s="9">
        <v>1</v>
      </c>
      <c r="K11" s="9">
        <v>209</v>
      </c>
      <c r="L11" s="9">
        <v>2024</v>
      </c>
      <c r="M11" s="8" t="s">
        <v>76</v>
      </c>
      <c r="N11" s="8" t="s">
        <v>56</v>
      </c>
      <c r="O11" s="8" t="s">
        <v>57</v>
      </c>
      <c r="P11" s="6" t="s">
        <v>77</v>
      </c>
      <c r="Q11" s="8" t="s">
        <v>78</v>
      </c>
      <c r="R11" s="10" t="s">
        <v>79</v>
      </c>
      <c r="S11" s="11" t="s">
        <v>80</v>
      </c>
      <c r="T11" s="6"/>
      <c r="U11" s="27" t="str">
        <f>HYPERLINK("https://media.infra-m.ru/2102/2102665/cover/2102665.jpg", "Обложка")</f>
        <v>Обложка</v>
      </c>
      <c r="V11" s="27" t="str">
        <f>HYPERLINK("https://znanium.com/catalog/product/2102665", "Ознакомиться")</f>
        <v>Ознакомиться</v>
      </c>
      <c r="W11" s="8" t="s">
        <v>81</v>
      </c>
      <c r="X11" s="6"/>
      <c r="Y11" s="6"/>
      <c r="Z11" s="6" t="s">
        <v>82</v>
      </c>
      <c r="AA11" s="6" t="s">
        <v>83</v>
      </c>
    </row>
    <row r="12" spans="1:27" s="4" customFormat="1" ht="51.95" customHeight="1">
      <c r="A12" s="5">
        <v>0</v>
      </c>
      <c r="B12" s="6" t="s">
        <v>84</v>
      </c>
      <c r="C12" s="13">
        <v>934</v>
      </c>
      <c r="D12" s="8" t="s">
        <v>85</v>
      </c>
      <c r="E12" s="8" t="s">
        <v>73</v>
      </c>
      <c r="F12" s="8" t="s">
        <v>86</v>
      </c>
      <c r="G12" s="6" t="s">
        <v>53</v>
      </c>
      <c r="H12" s="6" t="s">
        <v>87</v>
      </c>
      <c r="I12" s="8"/>
      <c r="J12" s="9">
        <v>1</v>
      </c>
      <c r="K12" s="9">
        <v>208</v>
      </c>
      <c r="L12" s="9">
        <v>2023</v>
      </c>
      <c r="M12" s="8" t="s">
        <v>88</v>
      </c>
      <c r="N12" s="8" t="s">
        <v>56</v>
      </c>
      <c r="O12" s="8" t="s">
        <v>57</v>
      </c>
      <c r="P12" s="6" t="s">
        <v>77</v>
      </c>
      <c r="Q12" s="8" t="s">
        <v>89</v>
      </c>
      <c r="R12" s="10" t="s">
        <v>90</v>
      </c>
      <c r="S12" s="11" t="s">
        <v>91</v>
      </c>
      <c r="T12" s="6"/>
      <c r="U12" s="27" t="str">
        <f>HYPERLINK("https://media.infra-m.ru/1841/1841678/cover/1841678.jpg", "Обложка")</f>
        <v>Обложка</v>
      </c>
      <c r="V12" s="12"/>
      <c r="W12" s="8" t="s">
        <v>81</v>
      </c>
      <c r="X12" s="6"/>
      <c r="Y12" s="6"/>
      <c r="Z12" s="6"/>
      <c r="AA12" s="6" t="s">
        <v>92</v>
      </c>
    </row>
    <row r="13" spans="1:27" s="4" customFormat="1" ht="51.95" customHeight="1">
      <c r="A13" s="5">
        <v>0</v>
      </c>
      <c r="B13" s="6" t="s">
        <v>93</v>
      </c>
      <c r="C13" s="13">
        <v>864.9</v>
      </c>
      <c r="D13" s="8" t="s">
        <v>94</v>
      </c>
      <c r="E13" s="8" t="s">
        <v>95</v>
      </c>
      <c r="F13" s="8" t="s">
        <v>96</v>
      </c>
      <c r="G13" s="6" t="s">
        <v>53</v>
      </c>
      <c r="H13" s="6" t="s">
        <v>87</v>
      </c>
      <c r="I13" s="8"/>
      <c r="J13" s="9">
        <v>1</v>
      </c>
      <c r="K13" s="9">
        <v>192</v>
      </c>
      <c r="L13" s="9">
        <v>2023</v>
      </c>
      <c r="M13" s="8" t="s">
        <v>97</v>
      </c>
      <c r="N13" s="8" t="s">
        <v>56</v>
      </c>
      <c r="O13" s="8" t="s">
        <v>57</v>
      </c>
      <c r="P13" s="6" t="s">
        <v>77</v>
      </c>
      <c r="Q13" s="8" t="s">
        <v>89</v>
      </c>
      <c r="R13" s="10" t="s">
        <v>98</v>
      </c>
      <c r="S13" s="11" t="s">
        <v>99</v>
      </c>
      <c r="T13" s="6"/>
      <c r="U13" s="27" t="str">
        <f>HYPERLINK("https://media.infra-m.ru/1917/1917667/cover/1917667.jpg", "Обложка")</f>
        <v>Обложка</v>
      </c>
      <c r="V13" s="27" t="str">
        <f>HYPERLINK("https://znanium.com/catalog/product/959860", "Ознакомиться")</f>
        <v>Ознакомиться</v>
      </c>
      <c r="W13" s="8" t="s">
        <v>100</v>
      </c>
      <c r="X13" s="6"/>
      <c r="Y13" s="6"/>
      <c r="Z13" s="6"/>
      <c r="AA13" s="6" t="s">
        <v>101</v>
      </c>
    </row>
    <row r="14" spans="1:27" s="4" customFormat="1" ht="42" customHeight="1">
      <c r="A14" s="5">
        <v>0</v>
      </c>
      <c r="B14" s="6" t="s">
        <v>102</v>
      </c>
      <c r="C14" s="13">
        <v>634</v>
      </c>
      <c r="D14" s="8" t="s">
        <v>103</v>
      </c>
      <c r="E14" s="8" t="s">
        <v>104</v>
      </c>
      <c r="F14" s="8" t="s">
        <v>105</v>
      </c>
      <c r="G14" s="6" t="s">
        <v>53</v>
      </c>
      <c r="H14" s="6" t="s">
        <v>38</v>
      </c>
      <c r="I14" s="8" t="s">
        <v>54</v>
      </c>
      <c r="J14" s="9">
        <v>1</v>
      </c>
      <c r="K14" s="9">
        <v>137</v>
      </c>
      <c r="L14" s="9">
        <v>2023</v>
      </c>
      <c r="M14" s="8" t="s">
        <v>106</v>
      </c>
      <c r="N14" s="8" t="s">
        <v>41</v>
      </c>
      <c r="O14" s="8" t="s">
        <v>42</v>
      </c>
      <c r="P14" s="6" t="s">
        <v>58</v>
      </c>
      <c r="Q14" s="8" t="s">
        <v>44</v>
      </c>
      <c r="R14" s="10" t="s">
        <v>107</v>
      </c>
      <c r="S14" s="11"/>
      <c r="T14" s="6"/>
      <c r="U14" s="27" t="str">
        <f>HYPERLINK("https://media.infra-m.ru/2002/2002617/cover/2002617.jpg", "Обложка")</f>
        <v>Обложка</v>
      </c>
      <c r="V14" s="27" t="str">
        <f>HYPERLINK("https://znanium.com/catalog/product/1860828", "Ознакомиться")</f>
        <v>Ознакомиться</v>
      </c>
      <c r="W14" s="8" t="s">
        <v>108</v>
      </c>
      <c r="X14" s="6"/>
      <c r="Y14" s="6"/>
      <c r="Z14" s="6"/>
      <c r="AA14" s="6" t="s">
        <v>109</v>
      </c>
    </row>
    <row r="15" spans="1:27" s="4" customFormat="1" ht="51.95" customHeight="1">
      <c r="A15" s="5">
        <v>0</v>
      </c>
      <c r="B15" s="6" t="s">
        <v>110</v>
      </c>
      <c r="C15" s="13">
        <v>590</v>
      </c>
      <c r="D15" s="8" t="s">
        <v>111</v>
      </c>
      <c r="E15" s="8" t="s">
        <v>112</v>
      </c>
      <c r="F15" s="8" t="s">
        <v>113</v>
      </c>
      <c r="G15" s="6" t="s">
        <v>53</v>
      </c>
      <c r="H15" s="6" t="s">
        <v>38</v>
      </c>
      <c r="I15" s="8" t="s">
        <v>54</v>
      </c>
      <c r="J15" s="9">
        <v>1</v>
      </c>
      <c r="K15" s="9">
        <v>131</v>
      </c>
      <c r="L15" s="9">
        <v>2023</v>
      </c>
      <c r="M15" s="8" t="s">
        <v>114</v>
      </c>
      <c r="N15" s="8" t="s">
        <v>41</v>
      </c>
      <c r="O15" s="8" t="s">
        <v>42</v>
      </c>
      <c r="P15" s="6" t="s">
        <v>58</v>
      </c>
      <c r="Q15" s="8" t="s">
        <v>44</v>
      </c>
      <c r="R15" s="10" t="s">
        <v>115</v>
      </c>
      <c r="S15" s="11"/>
      <c r="T15" s="6"/>
      <c r="U15" s="27" t="str">
        <f>HYPERLINK("https://media.infra-m.ru/1986/1986687/cover/1986687.jpg", "Обложка")</f>
        <v>Обложка</v>
      </c>
      <c r="V15" s="27" t="str">
        <f>HYPERLINK("https://znanium.com/catalog/product/1986687", "Ознакомиться")</f>
        <v>Ознакомиться</v>
      </c>
      <c r="W15" s="8" t="s">
        <v>116</v>
      </c>
      <c r="X15" s="6"/>
      <c r="Y15" s="6"/>
      <c r="Z15" s="6"/>
      <c r="AA15" s="6" t="s">
        <v>117</v>
      </c>
    </row>
    <row r="16" spans="1:27" s="4" customFormat="1" ht="51.95" customHeight="1">
      <c r="A16" s="5">
        <v>0</v>
      </c>
      <c r="B16" s="6" t="s">
        <v>118</v>
      </c>
      <c r="C16" s="13">
        <v>940</v>
      </c>
      <c r="D16" s="8" t="s">
        <v>119</v>
      </c>
      <c r="E16" s="8" t="s">
        <v>120</v>
      </c>
      <c r="F16" s="8" t="s">
        <v>121</v>
      </c>
      <c r="G16" s="6" t="s">
        <v>37</v>
      </c>
      <c r="H16" s="6" t="s">
        <v>38</v>
      </c>
      <c r="I16" s="8" t="s">
        <v>122</v>
      </c>
      <c r="J16" s="9">
        <v>1</v>
      </c>
      <c r="K16" s="9">
        <v>208</v>
      </c>
      <c r="L16" s="9">
        <v>2023</v>
      </c>
      <c r="M16" s="8" t="s">
        <v>123</v>
      </c>
      <c r="N16" s="8" t="s">
        <v>41</v>
      </c>
      <c r="O16" s="8" t="s">
        <v>42</v>
      </c>
      <c r="P16" s="6" t="s">
        <v>77</v>
      </c>
      <c r="Q16" s="8" t="s">
        <v>124</v>
      </c>
      <c r="R16" s="10" t="s">
        <v>125</v>
      </c>
      <c r="S16" s="11" t="s">
        <v>126</v>
      </c>
      <c r="T16" s="6"/>
      <c r="U16" s="27" t="str">
        <f>HYPERLINK("https://media.infra-m.ru/1964/1964971/cover/1964971.jpg", "Обложка")</f>
        <v>Обложка</v>
      </c>
      <c r="V16" s="27" t="str">
        <f>HYPERLINK("https://znanium.com/catalog/product/1964971", "Ознакомиться")</f>
        <v>Ознакомиться</v>
      </c>
      <c r="W16" s="8" t="s">
        <v>127</v>
      </c>
      <c r="X16" s="6"/>
      <c r="Y16" s="6"/>
      <c r="Z16" s="6"/>
      <c r="AA16" s="6" t="s">
        <v>128</v>
      </c>
    </row>
    <row r="17" spans="1:27" s="4" customFormat="1" ht="51.95" customHeight="1">
      <c r="A17" s="5">
        <v>0</v>
      </c>
      <c r="B17" s="6" t="s">
        <v>129</v>
      </c>
      <c r="C17" s="13">
        <v>730</v>
      </c>
      <c r="D17" s="8" t="s">
        <v>130</v>
      </c>
      <c r="E17" s="8" t="s">
        <v>131</v>
      </c>
      <c r="F17" s="8" t="s">
        <v>132</v>
      </c>
      <c r="G17" s="6" t="s">
        <v>53</v>
      </c>
      <c r="H17" s="6" t="s">
        <v>38</v>
      </c>
      <c r="I17" s="8" t="s">
        <v>54</v>
      </c>
      <c r="J17" s="9">
        <v>1</v>
      </c>
      <c r="K17" s="9">
        <v>158</v>
      </c>
      <c r="L17" s="9">
        <v>2024</v>
      </c>
      <c r="M17" s="8" t="s">
        <v>133</v>
      </c>
      <c r="N17" s="8" t="s">
        <v>41</v>
      </c>
      <c r="O17" s="8" t="s">
        <v>42</v>
      </c>
      <c r="P17" s="6" t="s">
        <v>58</v>
      </c>
      <c r="Q17" s="8" t="s">
        <v>44</v>
      </c>
      <c r="R17" s="10" t="s">
        <v>134</v>
      </c>
      <c r="S17" s="11"/>
      <c r="T17" s="6"/>
      <c r="U17" s="27" t="str">
        <f>HYPERLINK("https://media.infra-m.ru/2073/2073474/cover/2073474.jpg", "Обложка")</f>
        <v>Обложка</v>
      </c>
      <c r="V17" s="27" t="str">
        <f>HYPERLINK("https://znanium.com/catalog/product/2073474", "Ознакомиться")</f>
        <v>Ознакомиться</v>
      </c>
      <c r="W17" s="8" t="s">
        <v>135</v>
      </c>
      <c r="X17" s="6"/>
      <c r="Y17" s="6"/>
      <c r="Z17" s="6"/>
      <c r="AA17" s="6" t="s">
        <v>136</v>
      </c>
    </row>
    <row r="18" spans="1:27" s="4" customFormat="1" ht="51.95" customHeight="1">
      <c r="A18" s="5">
        <v>0</v>
      </c>
      <c r="B18" s="6" t="s">
        <v>137</v>
      </c>
      <c r="C18" s="7">
        <v>2400</v>
      </c>
      <c r="D18" s="8" t="s">
        <v>138</v>
      </c>
      <c r="E18" s="8" t="s">
        <v>139</v>
      </c>
      <c r="F18" s="8" t="s">
        <v>140</v>
      </c>
      <c r="G18" s="6" t="s">
        <v>37</v>
      </c>
      <c r="H18" s="6" t="s">
        <v>38</v>
      </c>
      <c r="I18" s="8" t="s">
        <v>54</v>
      </c>
      <c r="J18" s="9">
        <v>1</v>
      </c>
      <c r="K18" s="9">
        <v>597</v>
      </c>
      <c r="L18" s="9">
        <v>2023</v>
      </c>
      <c r="M18" s="8" t="s">
        <v>141</v>
      </c>
      <c r="N18" s="8" t="s">
        <v>56</v>
      </c>
      <c r="O18" s="8" t="s">
        <v>57</v>
      </c>
      <c r="P18" s="6" t="s">
        <v>58</v>
      </c>
      <c r="Q18" s="8" t="s">
        <v>44</v>
      </c>
      <c r="R18" s="10" t="s">
        <v>142</v>
      </c>
      <c r="S18" s="11"/>
      <c r="T18" s="6"/>
      <c r="U18" s="27" t="str">
        <f>HYPERLINK("https://media.infra-m.ru/2015/2015245/cover/2015245.jpg", "Обложка")</f>
        <v>Обложка</v>
      </c>
      <c r="V18" s="27" t="str">
        <f>HYPERLINK("https://znanium.com/catalog/product/2015245", "Ознакомиться")</f>
        <v>Ознакомиться</v>
      </c>
      <c r="W18" s="8" t="s">
        <v>143</v>
      </c>
      <c r="X18" s="6"/>
      <c r="Y18" s="6"/>
      <c r="Z18" s="6"/>
      <c r="AA18" s="6" t="s">
        <v>92</v>
      </c>
    </row>
    <row r="19" spans="1:27" s="4" customFormat="1" ht="51.95" customHeight="1">
      <c r="A19" s="5">
        <v>0</v>
      </c>
      <c r="B19" s="6" t="s">
        <v>144</v>
      </c>
      <c r="C19" s="7">
        <v>1440</v>
      </c>
      <c r="D19" s="8" t="s">
        <v>145</v>
      </c>
      <c r="E19" s="8" t="s">
        <v>146</v>
      </c>
      <c r="F19" s="8" t="s">
        <v>147</v>
      </c>
      <c r="G19" s="6" t="s">
        <v>37</v>
      </c>
      <c r="H19" s="6" t="s">
        <v>38</v>
      </c>
      <c r="I19" s="8" t="s">
        <v>148</v>
      </c>
      <c r="J19" s="9">
        <v>1</v>
      </c>
      <c r="K19" s="9">
        <v>400</v>
      </c>
      <c r="L19" s="9">
        <v>2021</v>
      </c>
      <c r="M19" s="8" t="s">
        <v>149</v>
      </c>
      <c r="N19" s="8" t="s">
        <v>41</v>
      </c>
      <c r="O19" s="8" t="s">
        <v>42</v>
      </c>
      <c r="P19" s="6" t="s">
        <v>150</v>
      </c>
      <c r="Q19" s="8" t="s">
        <v>151</v>
      </c>
      <c r="R19" s="10" t="s">
        <v>152</v>
      </c>
      <c r="S19" s="11" t="s">
        <v>153</v>
      </c>
      <c r="T19" s="6" t="s">
        <v>46</v>
      </c>
      <c r="U19" s="27" t="str">
        <f>HYPERLINK("https://media.infra-m.ru/1200/1200671/cover/1200671.jpg", "Обложка")</f>
        <v>Обложка</v>
      </c>
      <c r="V19" s="27" t="str">
        <f>HYPERLINK("https://znanium.com/catalog/product/2096927", "Ознакомиться")</f>
        <v>Ознакомиться</v>
      </c>
      <c r="W19" s="8" t="s">
        <v>154</v>
      </c>
      <c r="X19" s="6"/>
      <c r="Y19" s="6"/>
      <c r="Z19" s="6"/>
      <c r="AA19" s="6" t="s">
        <v>155</v>
      </c>
    </row>
    <row r="20" spans="1:27" s="4" customFormat="1" ht="51.95" customHeight="1">
      <c r="A20" s="5">
        <v>0</v>
      </c>
      <c r="B20" s="6" t="s">
        <v>156</v>
      </c>
      <c r="C20" s="7">
        <v>1790</v>
      </c>
      <c r="D20" s="8" t="s">
        <v>157</v>
      </c>
      <c r="E20" s="8" t="s">
        <v>158</v>
      </c>
      <c r="F20" s="8" t="s">
        <v>147</v>
      </c>
      <c r="G20" s="6" t="s">
        <v>37</v>
      </c>
      <c r="H20" s="6" t="s">
        <v>38</v>
      </c>
      <c r="I20" s="8" t="s">
        <v>148</v>
      </c>
      <c r="J20" s="9">
        <v>1</v>
      </c>
      <c r="K20" s="9">
        <v>388</v>
      </c>
      <c r="L20" s="9">
        <v>2024</v>
      </c>
      <c r="M20" s="8" t="s">
        <v>159</v>
      </c>
      <c r="N20" s="8" t="s">
        <v>41</v>
      </c>
      <c r="O20" s="8" t="s">
        <v>42</v>
      </c>
      <c r="P20" s="6" t="s">
        <v>150</v>
      </c>
      <c r="Q20" s="8" t="s">
        <v>151</v>
      </c>
      <c r="R20" s="10" t="s">
        <v>152</v>
      </c>
      <c r="S20" s="11" t="s">
        <v>160</v>
      </c>
      <c r="T20" s="6" t="s">
        <v>46</v>
      </c>
      <c r="U20" s="27" t="str">
        <f>HYPERLINK("https://media.infra-m.ru/2096/2096927/cover/2096927.jpg", "Обложка")</f>
        <v>Обложка</v>
      </c>
      <c r="V20" s="27" t="str">
        <f>HYPERLINK("https://znanium.com/catalog/product/2096927", "Ознакомиться")</f>
        <v>Ознакомиться</v>
      </c>
      <c r="W20" s="8" t="s">
        <v>154</v>
      </c>
      <c r="X20" s="6"/>
      <c r="Y20" s="6"/>
      <c r="Z20" s="6"/>
      <c r="AA20" s="6" t="s">
        <v>161</v>
      </c>
    </row>
    <row r="21" spans="1:27" s="4" customFormat="1" ht="51.95" customHeight="1">
      <c r="A21" s="5">
        <v>0</v>
      </c>
      <c r="B21" s="6" t="s">
        <v>162</v>
      </c>
      <c r="C21" s="7">
        <v>1314.9</v>
      </c>
      <c r="D21" s="8" t="s">
        <v>163</v>
      </c>
      <c r="E21" s="8" t="s">
        <v>164</v>
      </c>
      <c r="F21" s="8" t="s">
        <v>147</v>
      </c>
      <c r="G21" s="6" t="s">
        <v>165</v>
      </c>
      <c r="H21" s="6" t="s">
        <v>38</v>
      </c>
      <c r="I21" s="8" t="s">
        <v>148</v>
      </c>
      <c r="J21" s="9">
        <v>1</v>
      </c>
      <c r="K21" s="9">
        <v>451</v>
      </c>
      <c r="L21" s="9">
        <v>2018</v>
      </c>
      <c r="M21" s="8" t="s">
        <v>166</v>
      </c>
      <c r="N21" s="8" t="s">
        <v>41</v>
      </c>
      <c r="O21" s="8" t="s">
        <v>42</v>
      </c>
      <c r="P21" s="6" t="s">
        <v>150</v>
      </c>
      <c r="Q21" s="8" t="s">
        <v>151</v>
      </c>
      <c r="R21" s="10" t="s">
        <v>152</v>
      </c>
      <c r="S21" s="11" t="s">
        <v>167</v>
      </c>
      <c r="T21" s="6" t="s">
        <v>46</v>
      </c>
      <c r="U21" s="27" t="str">
        <f>HYPERLINK("https://media.infra-m.ru/0929/0929674/cover/929674.jpg", "Обложка")</f>
        <v>Обложка</v>
      </c>
      <c r="V21" s="27" t="str">
        <f>HYPERLINK("https://znanium.com/catalog/product/2096927", "Ознакомиться")</f>
        <v>Ознакомиться</v>
      </c>
      <c r="W21" s="8" t="s">
        <v>154</v>
      </c>
      <c r="X21" s="6"/>
      <c r="Y21" s="6"/>
      <c r="Z21" s="6"/>
      <c r="AA21" s="6" t="s">
        <v>168</v>
      </c>
    </row>
    <row r="22" spans="1:27" s="4" customFormat="1" ht="51.95" customHeight="1">
      <c r="A22" s="5">
        <v>0</v>
      </c>
      <c r="B22" s="6" t="s">
        <v>169</v>
      </c>
      <c r="C22" s="13">
        <v>900</v>
      </c>
      <c r="D22" s="8" t="s">
        <v>170</v>
      </c>
      <c r="E22" s="8" t="s">
        <v>171</v>
      </c>
      <c r="F22" s="8" t="s">
        <v>172</v>
      </c>
      <c r="G22" s="6" t="s">
        <v>165</v>
      </c>
      <c r="H22" s="6" t="s">
        <v>38</v>
      </c>
      <c r="I22" s="8" t="s">
        <v>173</v>
      </c>
      <c r="J22" s="9">
        <v>1</v>
      </c>
      <c r="K22" s="9">
        <v>215</v>
      </c>
      <c r="L22" s="9">
        <v>2022</v>
      </c>
      <c r="M22" s="8" t="s">
        <v>174</v>
      </c>
      <c r="N22" s="8" t="s">
        <v>41</v>
      </c>
      <c r="O22" s="8" t="s">
        <v>42</v>
      </c>
      <c r="P22" s="6" t="s">
        <v>77</v>
      </c>
      <c r="Q22" s="8" t="s">
        <v>89</v>
      </c>
      <c r="R22" s="10" t="s">
        <v>175</v>
      </c>
      <c r="S22" s="11" t="s">
        <v>176</v>
      </c>
      <c r="T22" s="6"/>
      <c r="U22" s="27" t="str">
        <f>HYPERLINK("https://media.infra-m.ru/1072/1072205/cover/1072205.jpg", "Обложка")</f>
        <v>Обложка</v>
      </c>
      <c r="V22" s="27" t="str">
        <f>HYPERLINK("https://znanium.com/catalog/product/1072205", "Ознакомиться")</f>
        <v>Ознакомиться</v>
      </c>
      <c r="W22" s="8" t="s">
        <v>177</v>
      </c>
      <c r="X22" s="6"/>
      <c r="Y22" s="6"/>
      <c r="Z22" s="6"/>
      <c r="AA22" s="6" t="s">
        <v>178</v>
      </c>
    </row>
    <row r="23" spans="1:27" s="4" customFormat="1" ht="51.95" customHeight="1">
      <c r="A23" s="5">
        <v>0</v>
      </c>
      <c r="B23" s="6" t="s">
        <v>179</v>
      </c>
      <c r="C23" s="7">
        <v>1190</v>
      </c>
      <c r="D23" s="8" t="s">
        <v>180</v>
      </c>
      <c r="E23" s="8" t="s">
        <v>181</v>
      </c>
      <c r="F23" s="8" t="s">
        <v>182</v>
      </c>
      <c r="G23" s="6" t="s">
        <v>37</v>
      </c>
      <c r="H23" s="6" t="s">
        <v>38</v>
      </c>
      <c r="I23" s="8" t="s">
        <v>183</v>
      </c>
      <c r="J23" s="9">
        <v>1</v>
      </c>
      <c r="K23" s="9">
        <v>258</v>
      </c>
      <c r="L23" s="9">
        <v>2024</v>
      </c>
      <c r="M23" s="8" t="s">
        <v>184</v>
      </c>
      <c r="N23" s="8" t="s">
        <v>41</v>
      </c>
      <c r="O23" s="8" t="s">
        <v>42</v>
      </c>
      <c r="P23" s="6" t="s">
        <v>185</v>
      </c>
      <c r="Q23" s="8" t="s">
        <v>89</v>
      </c>
      <c r="R23" s="10" t="s">
        <v>186</v>
      </c>
      <c r="S23" s="11" t="s">
        <v>187</v>
      </c>
      <c r="T23" s="6"/>
      <c r="U23" s="27" t="str">
        <f>HYPERLINK("https://media.infra-m.ru/2107/2107435/cover/2107435.jpg", "Обложка")</f>
        <v>Обложка</v>
      </c>
      <c r="V23" s="27" t="str">
        <f>HYPERLINK("https://znanium.com/catalog/product/2107435", "Ознакомиться")</f>
        <v>Ознакомиться</v>
      </c>
      <c r="W23" s="8" t="s">
        <v>188</v>
      </c>
      <c r="X23" s="6"/>
      <c r="Y23" s="6"/>
      <c r="Z23" s="6"/>
      <c r="AA23" s="6" t="s">
        <v>189</v>
      </c>
    </row>
    <row r="24" spans="1:27" s="4" customFormat="1" ht="51.95" customHeight="1">
      <c r="A24" s="5">
        <v>0</v>
      </c>
      <c r="B24" s="6" t="s">
        <v>190</v>
      </c>
      <c r="C24" s="7">
        <v>1050</v>
      </c>
      <c r="D24" s="8" t="s">
        <v>191</v>
      </c>
      <c r="E24" s="8" t="s">
        <v>192</v>
      </c>
      <c r="F24" s="8" t="s">
        <v>193</v>
      </c>
      <c r="G24" s="6" t="s">
        <v>37</v>
      </c>
      <c r="H24" s="6" t="s">
        <v>38</v>
      </c>
      <c r="I24" s="8" t="s">
        <v>183</v>
      </c>
      <c r="J24" s="9">
        <v>1</v>
      </c>
      <c r="K24" s="9">
        <v>228</v>
      </c>
      <c r="L24" s="9">
        <v>2024</v>
      </c>
      <c r="M24" s="8" t="s">
        <v>194</v>
      </c>
      <c r="N24" s="8" t="s">
        <v>41</v>
      </c>
      <c r="O24" s="8" t="s">
        <v>42</v>
      </c>
      <c r="P24" s="6" t="s">
        <v>77</v>
      </c>
      <c r="Q24" s="8" t="s">
        <v>89</v>
      </c>
      <c r="R24" s="10" t="s">
        <v>186</v>
      </c>
      <c r="S24" s="11" t="s">
        <v>195</v>
      </c>
      <c r="T24" s="6"/>
      <c r="U24" s="27" t="str">
        <f>HYPERLINK("https://media.infra-m.ru/2096/2096771/cover/2096771.jpg", "Обложка")</f>
        <v>Обложка</v>
      </c>
      <c r="V24" s="27" t="str">
        <f>HYPERLINK("https://znanium.com/catalog/product/2096771", "Ознакомиться")</f>
        <v>Ознакомиться</v>
      </c>
      <c r="W24" s="8" t="s">
        <v>188</v>
      </c>
      <c r="X24" s="6"/>
      <c r="Y24" s="6"/>
      <c r="Z24" s="6"/>
      <c r="AA24" s="6" t="s">
        <v>128</v>
      </c>
    </row>
    <row r="25" spans="1:27" s="4" customFormat="1" ht="51.95" customHeight="1">
      <c r="A25" s="5">
        <v>0</v>
      </c>
      <c r="B25" s="6" t="s">
        <v>196</v>
      </c>
      <c r="C25" s="7">
        <v>1030</v>
      </c>
      <c r="D25" s="8" t="s">
        <v>197</v>
      </c>
      <c r="E25" s="8" t="s">
        <v>192</v>
      </c>
      <c r="F25" s="8" t="s">
        <v>193</v>
      </c>
      <c r="G25" s="6" t="s">
        <v>37</v>
      </c>
      <c r="H25" s="6" t="s">
        <v>38</v>
      </c>
      <c r="I25" s="8" t="s">
        <v>75</v>
      </c>
      <c r="J25" s="9">
        <v>1</v>
      </c>
      <c r="K25" s="9">
        <v>228</v>
      </c>
      <c r="L25" s="9">
        <v>2023</v>
      </c>
      <c r="M25" s="8" t="s">
        <v>198</v>
      </c>
      <c r="N25" s="8" t="s">
        <v>41</v>
      </c>
      <c r="O25" s="8" t="s">
        <v>42</v>
      </c>
      <c r="P25" s="6" t="s">
        <v>77</v>
      </c>
      <c r="Q25" s="8" t="s">
        <v>78</v>
      </c>
      <c r="R25" s="10" t="s">
        <v>199</v>
      </c>
      <c r="S25" s="11" t="s">
        <v>200</v>
      </c>
      <c r="T25" s="6"/>
      <c r="U25" s="27" t="str">
        <f>HYPERLINK("https://media.infra-m.ru/1898/1898857/cover/1898857.jpg", "Обложка")</f>
        <v>Обложка</v>
      </c>
      <c r="V25" s="27" t="str">
        <f>HYPERLINK("https://znanium.com/catalog/product/1898857", "Ознакомиться")</f>
        <v>Ознакомиться</v>
      </c>
      <c r="W25" s="8" t="s">
        <v>188</v>
      </c>
      <c r="X25" s="6"/>
      <c r="Y25" s="6"/>
      <c r="Z25" s="6" t="s">
        <v>82</v>
      </c>
      <c r="AA25" s="6" t="s">
        <v>128</v>
      </c>
    </row>
    <row r="26" spans="1:27" s="4" customFormat="1" ht="44.1" customHeight="1">
      <c r="A26" s="5">
        <v>0</v>
      </c>
      <c r="B26" s="6" t="s">
        <v>201</v>
      </c>
      <c r="C26" s="7">
        <v>1914</v>
      </c>
      <c r="D26" s="8" t="s">
        <v>202</v>
      </c>
      <c r="E26" s="8" t="s">
        <v>203</v>
      </c>
      <c r="F26" s="8" t="s">
        <v>204</v>
      </c>
      <c r="G26" s="6" t="s">
        <v>165</v>
      </c>
      <c r="H26" s="6" t="s">
        <v>38</v>
      </c>
      <c r="I26" s="8" t="s">
        <v>173</v>
      </c>
      <c r="J26" s="9">
        <v>1</v>
      </c>
      <c r="K26" s="9">
        <v>415</v>
      </c>
      <c r="L26" s="9">
        <v>2024</v>
      </c>
      <c r="M26" s="8" t="s">
        <v>205</v>
      </c>
      <c r="N26" s="8" t="s">
        <v>56</v>
      </c>
      <c r="O26" s="8" t="s">
        <v>57</v>
      </c>
      <c r="P26" s="6" t="s">
        <v>150</v>
      </c>
      <c r="Q26" s="8" t="s">
        <v>89</v>
      </c>
      <c r="R26" s="10" t="s">
        <v>206</v>
      </c>
      <c r="S26" s="11"/>
      <c r="T26" s="6"/>
      <c r="U26" s="27" t="str">
        <f>HYPERLINK("https://media.infra-m.ru/2117/2117636/cover/2117636.jpg", "Обложка")</f>
        <v>Обложка</v>
      </c>
      <c r="V26" s="27" t="str">
        <f>HYPERLINK("https://znanium.com/catalog/product/1846429", "Ознакомиться")</f>
        <v>Ознакомиться</v>
      </c>
      <c r="W26" s="8" t="s">
        <v>207</v>
      </c>
      <c r="X26" s="6"/>
      <c r="Y26" s="6"/>
      <c r="Z26" s="6"/>
      <c r="AA26" s="6" t="s">
        <v>208</v>
      </c>
    </row>
    <row r="27" spans="1:27" s="4" customFormat="1" ht="51.95" customHeight="1">
      <c r="A27" s="5">
        <v>0</v>
      </c>
      <c r="B27" s="6" t="s">
        <v>209</v>
      </c>
      <c r="C27" s="7">
        <v>1244.9000000000001</v>
      </c>
      <c r="D27" s="8" t="s">
        <v>210</v>
      </c>
      <c r="E27" s="8" t="s">
        <v>211</v>
      </c>
      <c r="F27" s="8" t="s">
        <v>212</v>
      </c>
      <c r="G27" s="6" t="s">
        <v>165</v>
      </c>
      <c r="H27" s="6" t="s">
        <v>38</v>
      </c>
      <c r="I27" s="8" t="s">
        <v>54</v>
      </c>
      <c r="J27" s="9">
        <v>1</v>
      </c>
      <c r="K27" s="9">
        <v>276</v>
      </c>
      <c r="L27" s="9">
        <v>2023</v>
      </c>
      <c r="M27" s="8" t="s">
        <v>213</v>
      </c>
      <c r="N27" s="8" t="s">
        <v>41</v>
      </c>
      <c r="O27" s="8" t="s">
        <v>42</v>
      </c>
      <c r="P27" s="6" t="s">
        <v>58</v>
      </c>
      <c r="Q27" s="8" t="s">
        <v>44</v>
      </c>
      <c r="R27" s="10" t="s">
        <v>214</v>
      </c>
      <c r="S27" s="11"/>
      <c r="T27" s="6"/>
      <c r="U27" s="27" t="str">
        <f>HYPERLINK("https://media.infra-m.ru/1976/1976155/cover/1976155.jpg", "Обложка")</f>
        <v>Обложка</v>
      </c>
      <c r="V27" s="27" t="str">
        <f>HYPERLINK("https://znanium.com/catalog/product/1020779", "Ознакомиться")</f>
        <v>Ознакомиться</v>
      </c>
      <c r="W27" s="8" t="s">
        <v>215</v>
      </c>
      <c r="X27" s="6"/>
      <c r="Y27" s="6"/>
      <c r="Z27" s="6"/>
      <c r="AA27" s="6" t="s">
        <v>70</v>
      </c>
    </row>
    <row r="28" spans="1:27" s="4" customFormat="1" ht="51.95" customHeight="1">
      <c r="A28" s="5">
        <v>0</v>
      </c>
      <c r="B28" s="6" t="s">
        <v>216</v>
      </c>
      <c r="C28" s="13">
        <v>790</v>
      </c>
      <c r="D28" s="8" t="s">
        <v>217</v>
      </c>
      <c r="E28" s="8" t="s">
        <v>218</v>
      </c>
      <c r="F28" s="8" t="s">
        <v>219</v>
      </c>
      <c r="G28" s="6" t="s">
        <v>37</v>
      </c>
      <c r="H28" s="6" t="s">
        <v>38</v>
      </c>
      <c r="I28" s="8" t="s">
        <v>54</v>
      </c>
      <c r="J28" s="9">
        <v>1</v>
      </c>
      <c r="K28" s="9">
        <v>230</v>
      </c>
      <c r="L28" s="9">
        <v>2019</v>
      </c>
      <c r="M28" s="8" t="s">
        <v>220</v>
      </c>
      <c r="N28" s="8" t="s">
        <v>41</v>
      </c>
      <c r="O28" s="8" t="s">
        <v>42</v>
      </c>
      <c r="P28" s="6" t="s">
        <v>58</v>
      </c>
      <c r="Q28" s="8" t="s">
        <v>44</v>
      </c>
      <c r="R28" s="10" t="s">
        <v>221</v>
      </c>
      <c r="S28" s="11"/>
      <c r="T28" s="6"/>
      <c r="U28" s="27" t="str">
        <f>HYPERLINK("https://media.infra-m.ru/1038/1038801/cover/1038801.jpg", "Обложка")</f>
        <v>Обложка</v>
      </c>
      <c r="V28" s="27" t="str">
        <f>HYPERLINK("https://znanium.com/catalog/product/966771", "Ознакомиться")</f>
        <v>Ознакомиться</v>
      </c>
      <c r="W28" s="8" t="s">
        <v>215</v>
      </c>
      <c r="X28" s="6"/>
      <c r="Y28" s="6"/>
      <c r="Z28" s="6"/>
      <c r="AA28" s="6" t="s">
        <v>70</v>
      </c>
    </row>
    <row r="29" spans="1:27" s="4" customFormat="1" ht="51.95" customHeight="1">
      <c r="A29" s="5">
        <v>0</v>
      </c>
      <c r="B29" s="6" t="s">
        <v>222</v>
      </c>
      <c r="C29" s="7">
        <v>2600</v>
      </c>
      <c r="D29" s="8" t="s">
        <v>223</v>
      </c>
      <c r="E29" s="8" t="s">
        <v>224</v>
      </c>
      <c r="F29" s="8" t="s">
        <v>225</v>
      </c>
      <c r="G29" s="6" t="s">
        <v>53</v>
      </c>
      <c r="H29" s="6" t="s">
        <v>38</v>
      </c>
      <c r="I29" s="8" t="s">
        <v>54</v>
      </c>
      <c r="J29" s="9">
        <v>1</v>
      </c>
      <c r="K29" s="9">
        <v>610</v>
      </c>
      <c r="L29" s="9">
        <v>2024</v>
      </c>
      <c r="M29" s="8" t="s">
        <v>226</v>
      </c>
      <c r="N29" s="8" t="s">
        <v>41</v>
      </c>
      <c r="O29" s="8" t="s">
        <v>42</v>
      </c>
      <c r="P29" s="6" t="s">
        <v>58</v>
      </c>
      <c r="Q29" s="8" t="s">
        <v>44</v>
      </c>
      <c r="R29" s="10" t="s">
        <v>227</v>
      </c>
      <c r="S29" s="11"/>
      <c r="T29" s="6"/>
      <c r="U29" s="27" t="str">
        <f>HYPERLINK("https://media.infra-m.ru/2116/2116945/cover/2116945.jpg", "Обложка")</f>
        <v>Обложка</v>
      </c>
      <c r="V29" s="27" t="str">
        <f>HYPERLINK("https://znanium.com/catalog/product/2116945", "Ознакомиться")</f>
        <v>Ознакомиться</v>
      </c>
      <c r="W29" s="8" t="s">
        <v>228</v>
      </c>
      <c r="X29" s="6"/>
      <c r="Y29" s="6"/>
      <c r="Z29" s="6"/>
      <c r="AA29" s="6" t="s">
        <v>136</v>
      </c>
    </row>
    <row r="30" spans="1:27" s="4" customFormat="1" ht="42" customHeight="1">
      <c r="A30" s="5">
        <v>0</v>
      </c>
      <c r="B30" s="6" t="s">
        <v>229</v>
      </c>
      <c r="C30" s="13">
        <v>724.9</v>
      </c>
      <c r="D30" s="8" t="s">
        <v>230</v>
      </c>
      <c r="E30" s="8" t="s">
        <v>231</v>
      </c>
      <c r="F30" s="8" t="s">
        <v>232</v>
      </c>
      <c r="G30" s="6" t="s">
        <v>53</v>
      </c>
      <c r="H30" s="6" t="s">
        <v>38</v>
      </c>
      <c r="I30" s="8" t="s">
        <v>54</v>
      </c>
      <c r="J30" s="9">
        <v>1</v>
      </c>
      <c r="K30" s="9">
        <v>161</v>
      </c>
      <c r="L30" s="9">
        <v>2023</v>
      </c>
      <c r="M30" s="8" t="s">
        <v>233</v>
      </c>
      <c r="N30" s="8" t="s">
        <v>41</v>
      </c>
      <c r="O30" s="8" t="s">
        <v>42</v>
      </c>
      <c r="P30" s="6" t="s">
        <v>58</v>
      </c>
      <c r="Q30" s="8" t="s">
        <v>44</v>
      </c>
      <c r="R30" s="10" t="s">
        <v>234</v>
      </c>
      <c r="S30" s="11"/>
      <c r="T30" s="6"/>
      <c r="U30" s="27" t="str">
        <f>HYPERLINK("https://media.infra-m.ru/1976/1976181/cover/1976181.jpg", "Обложка")</f>
        <v>Обложка</v>
      </c>
      <c r="V30" s="27" t="str">
        <f>HYPERLINK("https://znanium.com/catalog/product/1084388", "Ознакомиться")</f>
        <v>Ознакомиться</v>
      </c>
      <c r="W30" s="8" t="s">
        <v>235</v>
      </c>
      <c r="X30" s="6"/>
      <c r="Y30" s="6"/>
      <c r="Z30" s="6"/>
      <c r="AA30" s="6" t="s">
        <v>136</v>
      </c>
    </row>
    <row r="31" spans="1:27" s="4" customFormat="1" ht="51.95" customHeight="1">
      <c r="A31" s="5">
        <v>0</v>
      </c>
      <c r="B31" s="6" t="s">
        <v>236</v>
      </c>
      <c r="C31" s="7">
        <v>1614</v>
      </c>
      <c r="D31" s="8" t="s">
        <v>237</v>
      </c>
      <c r="E31" s="8" t="s">
        <v>238</v>
      </c>
      <c r="F31" s="8" t="s">
        <v>239</v>
      </c>
      <c r="G31" s="6" t="s">
        <v>37</v>
      </c>
      <c r="H31" s="6" t="s">
        <v>38</v>
      </c>
      <c r="I31" s="8" t="s">
        <v>173</v>
      </c>
      <c r="J31" s="9">
        <v>1</v>
      </c>
      <c r="K31" s="9">
        <v>350</v>
      </c>
      <c r="L31" s="9">
        <v>2024</v>
      </c>
      <c r="M31" s="8" t="s">
        <v>240</v>
      </c>
      <c r="N31" s="8" t="s">
        <v>56</v>
      </c>
      <c r="O31" s="8" t="s">
        <v>57</v>
      </c>
      <c r="P31" s="6" t="s">
        <v>77</v>
      </c>
      <c r="Q31" s="8" t="s">
        <v>89</v>
      </c>
      <c r="R31" s="10" t="s">
        <v>241</v>
      </c>
      <c r="S31" s="11" t="s">
        <v>242</v>
      </c>
      <c r="T31" s="6"/>
      <c r="U31" s="27" t="str">
        <f>HYPERLINK("https://media.infra-m.ru/2107/2107346/cover/2107346.jpg", "Обложка")</f>
        <v>Обложка</v>
      </c>
      <c r="V31" s="27" t="str">
        <f>HYPERLINK("https://znanium.com/catalog/product/1915365", "Ознакомиться")</f>
        <v>Ознакомиться</v>
      </c>
      <c r="W31" s="8" t="s">
        <v>243</v>
      </c>
      <c r="X31" s="6"/>
      <c r="Y31" s="6"/>
      <c r="Z31" s="6"/>
      <c r="AA31" s="6" t="s">
        <v>189</v>
      </c>
    </row>
    <row r="32" spans="1:27" s="4" customFormat="1" ht="51.95" customHeight="1">
      <c r="A32" s="5">
        <v>0</v>
      </c>
      <c r="B32" s="6" t="s">
        <v>244</v>
      </c>
      <c r="C32" s="7">
        <v>1200</v>
      </c>
      <c r="D32" s="8" t="s">
        <v>245</v>
      </c>
      <c r="E32" s="8" t="s">
        <v>246</v>
      </c>
      <c r="F32" s="8" t="s">
        <v>247</v>
      </c>
      <c r="G32" s="6" t="s">
        <v>37</v>
      </c>
      <c r="H32" s="6" t="s">
        <v>248</v>
      </c>
      <c r="I32" s="8" t="s">
        <v>173</v>
      </c>
      <c r="J32" s="9">
        <v>1</v>
      </c>
      <c r="K32" s="9">
        <v>352</v>
      </c>
      <c r="L32" s="9">
        <v>2019</v>
      </c>
      <c r="M32" s="8" t="s">
        <v>249</v>
      </c>
      <c r="N32" s="8" t="s">
        <v>56</v>
      </c>
      <c r="O32" s="8" t="s">
        <v>57</v>
      </c>
      <c r="P32" s="6" t="s">
        <v>77</v>
      </c>
      <c r="Q32" s="8" t="s">
        <v>89</v>
      </c>
      <c r="R32" s="10" t="s">
        <v>241</v>
      </c>
      <c r="S32" s="11"/>
      <c r="T32" s="6"/>
      <c r="U32" s="27" t="str">
        <f>HYPERLINK("https://media.infra-m.ru/1002/1002742/cover/1002742.jpg", "Обложка")</f>
        <v>Обложка</v>
      </c>
      <c r="V32" s="27" t="str">
        <f>HYPERLINK("https://znanium.com/catalog/product/1915365", "Ознакомиться")</f>
        <v>Ознакомиться</v>
      </c>
      <c r="W32" s="8" t="s">
        <v>243</v>
      </c>
      <c r="X32" s="6"/>
      <c r="Y32" s="6"/>
      <c r="Z32" s="6"/>
      <c r="AA32" s="6" t="s">
        <v>250</v>
      </c>
    </row>
    <row r="33" spans="1:27" s="4" customFormat="1" ht="51.95" customHeight="1">
      <c r="A33" s="5">
        <v>0</v>
      </c>
      <c r="B33" s="6" t="s">
        <v>251</v>
      </c>
      <c r="C33" s="7">
        <v>1560</v>
      </c>
      <c r="D33" s="8" t="s">
        <v>252</v>
      </c>
      <c r="E33" s="8" t="s">
        <v>246</v>
      </c>
      <c r="F33" s="8" t="s">
        <v>239</v>
      </c>
      <c r="G33" s="6" t="s">
        <v>37</v>
      </c>
      <c r="H33" s="6" t="s">
        <v>38</v>
      </c>
      <c r="I33" s="8" t="s">
        <v>75</v>
      </c>
      <c r="J33" s="9">
        <v>1</v>
      </c>
      <c r="K33" s="9">
        <v>338</v>
      </c>
      <c r="L33" s="9">
        <v>2024</v>
      </c>
      <c r="M33" s="8" t="s">
        <v>253</v>
      </c>
      <c r="N33" s="8" t="s">
        <v>56</v>
      </c>
      <c r="O33" s="8" t="s">
        <v>57</v>
      </c>
      <c r="P33" s="6" t="s">
        <v>77</v>
      </c>
      <c r="Q33" s="8" t="s">
        <v>78</v>
      </c>
      <c r="R33" s="10" t="s">
        <v>254</v>
      </c>
      <c r="S33" s="11" t="s">
        <v>255</v>
      </c>
      <c r="T33" s="6"/>
      <c r="U33" s="27" t="str">
        <f>HYPERLINK("https://media.infra-m.ru/2076/2076019/cover/2076019.jpg", "Обложка")</f>
        <v>Обложка</v>
      </c>
      <c r="V33" s="27" t="str">
        <f>HYPERLINK("https://znanium.com/catalog/product/2076019", "Ознакомиться")</f>
        <v>Ознакомиться</v>
      </c>
      <c r="W33" s="8" t="s">
        <v>243</v>
      </c>
      <c r="X33" s="6"/>
      <c r="Y33" s="6"/>
      <c r="Z33" s="6" t="s">
        <v>82</v>
      </c>
      <c r="AA33" s="6" t="s">
        <v>70</v>
      </c>
    </row>
    <row r="34" spans="1:27" s="4" customFormat="1" ht="51.95" customHeight="1">
      <c r="A34" s="5">
        <v>0</v>
      </c>
      <c r="B34" s="6" t="s">
        <v>256</v>
      </c>
      <c r="C34" s="13">
        <v>590</v>
      </c>
      <c r="D34" s="8" t="s">
        <v>257</v>
      </c>
      <c r="E34" s="8" t="s">
        <v>258</v>
      </c>
      <c r="F34" s="8" t="s">
        <v>259</v>
      </c>
      <c r="G34" s="6" t="s">
        <v>53</v>
      </c>
      <c r="H34" s="6" t="s">
        <v>38</v>
      </c>
      <c r="I34" s="8" t="s">
        <v>54</v>
      </c>
      <c r="J34" s="9">
        <v>1</v>
      </c>
      <c r="K34" s="9">
        <v>128</v>
      </c>
      <c r="L34" s="9">
        <v>2024</v>
      </c>
      <c r="M34" s="8" t="s">
        <v>260</v>
      </c>
      <c r="N34" s="8" t="s">
        <v>41</v>
      </c>
      <c r="O34" s="8" t="s">
        <v>42</v>
      </c>
      <c r="P34" s="6" t="s">
        <v>58</v>
      </c>
      <c r="Q34" s="8" t="s">
        <v>44</v>
      </c>
      <c r="R34" s="10" t="s">
        <v>261</v>
      </c>
      <c r="S34" s="11"/>
      <c r="T34" s="6"/>
      <c r="U34" s="27" t="str">
        <f>HYPERLINK("https://media.infra-m.ru/2096/2096773/cover/2096773.jpg", "Обложка")</f>
        <v>Обложка</v>
      </c>
      <c r="V34" s="27" t="str">
        <f>HYPERLINK("https://znanium.com/catalog/product/2096773", "Ознакомиться")</f>
        <v>Ознакомиться</v>
      </c>
      <c r="W34" s="8" t="s">
        <v>262</v>
      </c>
      <c r="X34" s="6"/>
      <c r="Y34" s="6"/>
      <c r="Z34" s="6"/>
      <c r="AA34" s="6" t="s">
        <v>250</v>
      </c>
    </row>
    <row r="35" spans="1:27" s="4" customFormat="1" ht="51.95" customHeight="1">
      <c r="A35" s="5">
        <v>0</v>
      </c>
      <c r="B35" s="6" t="s">
        <v>263</v>
      </c>
      <c r="C35" s="13">
        <v>854</v>
      </c>
      <c r="D35" s="8" t="s">
        <v>264</v>
      </c>
      <c r="E35" s="8" t="s">
        <v>265</v>
      </c>
      <c r="F35" s="8" t="s">
        <v>266</v>
      </c>
      <c r="G35" s="6" t="s">
        <v>165</v>
      </c>
      <c r="H35" s="6" t="s">
        <v>38</v>
      </c>
      <c r="I35" s="8" t="s">
        <v>54</v>
      </c>
      <c r="J35" s="9">
        <v>1</v>
      </c>
      <c r="K35" s="9">
        <v>183</v>
      </c>
      <c r="L35" s="9">
        <v>2024</v>
      </c>
      <c r="M35" s="8" t="s">
        <v>267</v>
      </c>
      <c r="N35" s="8" t="s">
        <v>41</v>
      </c>
      <c r="O35" s="8" t="s">
        <v>42</v>
      </c>
      <c r="P35" s="6" t="s">
        <v>58</v>
      </c>
      <c r="Q35" s="8" t="s">
        <v>44</v>
      </c>
      <c r="R35" s="10" t="s">
        <v>268</v>
      </c>
      <c r="S35" s="11"/>
      <c r="T35" s="6"/>
      <c r="U35" s="27" t="str">
        <f>HYPERLINK("https://media.infra-m.ru/2120/2120745/cover/2120745.jpg", "Обложка")</f>
        <v>Обложка</v>
      </c>
      <c r="V35" s="27" t="str">
        <f>HYPERLINK("https://znanium.com/catalog/product/2035508", "Ознакомиться")</f>
        <v>Ознакомиться</v>
      </c>
      <c r="W35" s="8" t="s">
        <v>269</v>
      </c>
      <c r="X35" s="6"/>
      <c r="Y35" s="6"/>
      <c r="Z35" s="6"/>
      <c r="AA35" s="6" t="s">
        <v>270</v>
      </c>
    </row>
    <row r="36" spans="1:27" s="4" customFormat="1" ht="51.95" customHeight="1">
      <c r="A36" s="5">
        <v>0</v>
      </c>
      <c r="B36" s="6" t="s">
        <v>271</v>
      </c>
      <c r="C36" s="7">
        <v>1260</v>
      </c>
      <c r="D36" s="8" t="s">
        <v>272</v>
      </c>
      <c r="E36" s="8" t="s">
        <v>273</v>
      </c>
      <c r="F36" s="8" t="s">
        <v>274</v>
      </c>
      <c r="G36" s="6" t="s">
        <v>37</v>
      </c>
      <c r="H36" s="6" t="s">
        <v>87</v>
      </c>
      <c r="I36" s="8" t="s">
        <v>75</v>
      </c>
      <c r="J36" s="9">
        <v>1</v>
      </c>
      <c r="K36" s="9">
        <v>272</v>
      </c>
      <c r="L36" s="9">
        <v>2024</v>
      </c>
      <c r="M36" s="8" t="s">
        <v>275</v>
      </c>
      <c r="N36" s="8" t="s">
        <v>41</v>
      </c>
      <c r="O36" s="8" t="s">
        <v>42</v>
      </c>
      <c r="P36" s="6" t="s">
        <v>185</v>
      </c>
      <c r="Q36" s="8" t="s">
        <v>78</v>
      </c>
      <c r="R36" s="10" t="s">
        <v>276</v>
      </c>
      <c r="S36" s="11" t="s">
        <v>277</v>
      </c>
      <c r="T36" s="6"/>
      <c r="U36" s="27" t="str">
        <f>HYPERLINK("https://media.infra-m.ru/2096/2096305/cover/2096305.jpg", "Обложка")</f>
        <v>Обложка</v>
      </c>
      <c r="V36" s="27" t="str">
        <f>HYPERLINK("https://znanium.com/catalog/product/2096305", "Ознакомиться")</f>
        <v>Ознакомиться</v>
      </c>
      <c r="W36" s="8" t="s">
        <v>278</v>
      </c>
      <c r="X36" s="6"/>
      <c r="Y36" s="6"/>
      <c r="Z36" s="6" t="s">
        <v>82</v>
      </c>
      <c r="AA36" s="6" t="s">
        <v>70</v>
      </c>
    </row>
    <row r="37" spans="1:27" s="4" customFormat="1" ht="51.95" customHeight="1">
      <c r="A37" s="5">
        <v>0</v>
      </c>
      <c r="B37" s="6" t="s">
        <v>279</v>
      </c>
      <c r="C37" s="7">
        <v>1030</v>
      </c>
      <c r="D37" s="8" t="s">
        <v>280</v>
      </c>
      <c r="E37" s="8" t="s">
        <v>273</v>
      </c>
      <c r="F37" s="8" t="s">
        <v>274</v>
      </c>
      <c r="G37" s="6" t="s">
        <v>37</v>
      </c>
      <c r="H37" s="6" t="s">
        <v>87</v>
      </c>
      <c r="I37" s="8" t="s">
        <v>173</v>
      </c>
      <c r="J37" s="9">
        <v>1</v>
      </c>
      <c r="K37" s="9">
        <v>272</v>
      </c>
      <c r="L37" s="9">
        <v>2022</v>
      </c>
      <c r="M37" s="8" t="s">
        <v>281</v>
      </c>
      <c r="N37" s="8" t="s">
        <v>41</v>
      </c>
      <c r="O37" s="8" t="s">
        <v>42</v>
      </c>
      <c r="P37" s="6" t="s">
        <v>185</v>
      </c>
      <c r="Q37" s="8" t="s">
        <v>89</v>
      </c>
      <c r="R37" s="10" t="s">
        <v>282</v>
      </c>
      <c r="S37" s="11"/>
      <c r="T37" s="6"/>
      <c r="U37" s="27" t="str">
        <f>HYPERLINK("https://media.infra-m.ru/1836/1836488/cover/1836488.jpg", "Обложка")</f>
        <v>Обложка</v>
      </c>
      <c r="V37" s="27" t="str">
        <f>HYPERLINK("https://znanium.com/catalog/product/1836488", "Ознакомиться")</f>
        <v>Ознакомиться</v>
      </c>
      <c r="W37" s="8" t="s">
        <v>278</v>
      </c>
      <c r="X37" s="6"/>
      <c r="Y37" s="6"/>
      <c r="Z37" s="6"/>
      <c r="AA37" s="6" t="s">
        <v>101</v>
      </c>
    </row>
    <row r="38" spans="1:27" s="4" customFormat="1" ht="51.95" customHeight="1">
      <c r="A38" s="5">
        <v>0</v>
      </c>
      <c r="B38" s="6" t="s">
        <v>283</v>
      </c>
      <c r="C38" s="7">
        <v>1130</v>
      </c>
      <c r="D38" s="8" t="s">
        <v>284</v>
      </c>
      <c r="E38" s="8" t="s">
        <v>285</v>
      </c>
      <c r="F38" s="8" t="s">
        <v>286</v>
      </c>
      <c r="G38" s="6" t="s">
        <v>165</v>
      </c>
      <c r="H38" s="6" t="s">
        <v>38</v>
      </c>
      <c r="I38" s="8" t="s">
        <v>75</v>
      </c>
      <c r="J38" s="9">
        <v>1</v>
      </c>
      <c r="K38" s="9">
        <v>315</v>
      </c>
      <c r="L38" s="9">
        <v>2020</v>
      </c>
      <c r="M38" s="8" t="s">
        <v>287</v>
      </c>
      <c r="N38" s="8" t="s">
        <v>41</v>
      </c>
      <c r="O38" s="8" t="s">
        <v>42</v>
      </c>
      <c r="P38" s="6" t="s">
        <v>77</v>
      </c>
      <c r="Q38" s="8" t="s">
        <v>78</v>
      </c>
      <c r="R38" s="10" t="s">
        <v>288</v>
      </c>
      <c r="S38" s="11" t="s">
        <v>289</v>
      </c>
      <c r="T38" s="6"/>
      <c r="U38" s="27" t="str">
        <f>HYPERLINK("https://media.infra-m.ru/1084/1084985/cover/1084985.jpg", "Обложка")</f>
        <v>Обложка</v>
      </c>
      <c r="V38" s="27" t="str">
        <f>HYPERLINK("https://znanium.com/catalog/product/1084985", "Ознакомиться")</f>
        <v>Ознакомиться</v>
      </c>
      <c r="W38" s="8" t="s">
        <v>290</v>
      </c>
      <c r="X38" s="6"/>
      <c r="Y38" s="6"/>
      <c r="Z38" s="6"/>
      <c r="AA38" s="6" t="s">
        <v>136</v>
      </c>
    </row>
    <row r="39" spans="1:27" s="4" customFormat="1" ht="42" customHeight="1">
      <c r="A39" s="5">
        <v>0</v>
      </c>
      <c r="B39" s="6" t="s">
        <v>291</v>
      </c>
      <c r="C39" s="13">
        <v>670</v>
      </c>
      <c r="D39" s="8" t="s">
        <v>292</v>
      </c>
      <c r="E39" s="8" t="s">
        <v>293</v>
      </c>
      <c r="F39" s="8" t="s">
        <v>105</v>
      </c>
      <c r="G39" s="6" t="s">
        <v>53</v>
      </c>
      <c r="H39" s="6" t="s">
        <v>38</v>
      </c>
      <c r="I39" s="8" t="s">
        <v>54</v>
      </c>
      <c r="J39" s="9">
        <v>1</v>
      </c>
      <c r="K39" s="9">
        <v>148</v>
      </c>
      <c r="L39" s="9">
        <v>2023</v>
      </c>
      <c r="M39" s="8" t="s">
        <v>294</v>
      </c>
      <c r="N39" s="8" t="s">
        <v>41</v>
      </c>
      <c r="O39" s="8" t="s">
        <v>42</v>
      </c>
      <c r="P39" s="6" t="s">
        <v>58</v>
      </c>
      <c r="Q39" s="8" t="s">
        <v>44</v>
      </c>
      <c r="R39" s="10" t="s">
        <v>295</v>
      </c>
      <c r="S39" s="11"/>
      <c r="T39" s="6"/>
      <c r="U39" s="27" t="str">
        <f>HYPERLINK("https://media.infra-m.ru/2044/2044298/cover/2044298.jpg", "Обложка")</f>
        <v>Обложка</v>
      </c>
      <c r="V39" s="27" t="str">
        <f>HYPERLINK("https://znanium.com/catalog/product/2044298", "Ознакомиться")</f>
        <v>Ознакомиться</v>
      </c>
      <c r="W39" s="8" t="s">
        <v>108</v>
      </c>
      <c r="X39" s="6"/>
      <c r="Y39" s="6"/>
      <c r="Z39" s="6"/>
      <c r="AA39" s="6" t="s">
        <v>117</v>
      </c>
    </row>
    <row r="40" spans="1:27" s="4" customFormat="1" ht="44.1" customHeight="1">
      <c r="A40" s="5">
        <v>0</v>
      </c>
      <c r="B40" s="6" t="s">
        <v>296</v>
      </c>
      <c r="C40" s="7">
        <v>2300</v>
      </c>
      <c r="D40" s="8" t="s">
        <v>297</v>
      </c>
      <c r="E40" s="8" t="s">
        <v>298</v>
      </c>
      <c r="F40" s="8" t="s">
        <v>299</v>
      </c>
      <c r="G40" s="6" t="s">
        <v>165</v>
      </c>
      <c r="H40" s="6" t="s">
        <v>38</v>
      </c>
      <c r="I40" s="8" t="s">
        <v>39</v>
      </c>
      <c r="J40" s="9">
        <v>1</v>
      </c>
      <c r="K40" s="9">
        <v>508</v>
      </c>
      <c r="L40" s="9">
        <v>2024</v>
      </c>
      <c r="M40" s="8" t="s">
        <v>300</v>
      </c>
      <c r="N40" s="8" t="s">
        <v>41</v>
      </c>
      <c r="O40" s="8" t="s">
        <v>42</v>
      </c>
      <c r="P40" s="6" t="s">
        <v>77</v>
      </c>
      <c r="Q40" s="8" t="s">
        <v>89</v>
      </c>
      <c r="R40" s="10" t="s">
        <v>301</v>
      </c>
      <c r="S40" s="11"/>
      <c r="T40" s="6"/>
      <c r="U40" s="27" t="str">
        <f>HYPERLINK("https://media.infra-m.ru/2084/2084341/cover/2084341.jpg", "Обложка")</f>
        <v>Обложка</v>
      </c>
      <c r="V40" s="27" t="str">
        <f>HYPERLINK("https://znanium.com/catalog/product/2084341", "Ознакомиться")</f>
        <v>Ознакомиться</v>
      </c>
      <c r="W40" s="8" t="s">
        <v>116</v>
      </c>
      <c r="X40" s="6"/>
      <c r="Y40" s="6"/>
      <c r="Z40" s="6"/>
      <c r="AA40" s="6" t="s">
        <v>302</v>
      </c>
    </row>
    <row r="41" spans="1:27" s="4" customFormat="1" ht="51.95" customHeight="1">
      <c r="A41" s="5">
        <v>0</v>
      </c>
      <c r="B41" s="6" t="s">
        <v>303</v>
      </c>
      <c r="C41" s="13">
        <v>334.9</v>
      </c>
      <c r="D41" s="8" t="s">
        <v>304</v>
      </c>
      <c r="E41" s="8" t="s">
        <v>305</v>
      </c>
      <c r="F41" s="8" t="s">
        <v>306</v>
      </c>
      <c r="G41" s="6" t="s">
        <v>53</v>
      </c>
      <c r="H41" s="6" t="s">
        <v>87</v>
      </c>
      <c r="I41" s="8"/>
      <c r="J41" s="9">
        <v>1</v>
      </c>
      <c r="K41" s="9">
        <v>112</v>
      </c>
      <c r="L41" s="9">
        <v>2018</v>
      </c>
      <c r="M41" s="8" t="s">
        <v>307</v>
      </c>
      <c r="N41" s="8" t="s">
        <v>41</v>
      </c>
      <c r="O41" s="8" t="s">
        <v>42</v>
      </c>
      <c r="P41" s="6" t="s">
        <v>77</v>
      </c>
      <c r="Q41" s="8" t="s">
        <v>308</v>
      </c>
      <c r="R41" s="10" t="s">
        <v>309</v>
      </c>
      <c r="S41" s="11"/>
      <c r="T41" s="6"/>
      <c r="U41" s="12"/>
      <c r="V41" s="27" t="str">
        <f>HYPERLINK("https://znanium.com/catalog/product/2052374", "Ознакомиться")</f>
        <v>Ознакомиться</v>
      </c>
      <c r="W41" s="8" t="s">
        <v>310</v>
      </c>
      <c r="X41" s="6"/>
      <c r="Y41" s="6"/>
      <c r="Z41" s="6"/>
      <c r="AA41" s="6" t="s">
        <v>101</v>
      </c>
    </row>
    <row r="42" spans="1:27" s="4" customFormat="1" ht="51.95" customHeight="1">
      <c r="A42" s="5">
        <v>0</v>
      </c>
      <c r="B42" s="6" t="s">
        <v>311</v>
      </c>
      <c r="C42" s="13">
        <v>780</v>
      </c>
      <c r="D42" s="8" t="s">
        <v>312</v>
      </c>
      <c r="E42" s="8" t="s">
        <v>313</v>
      </c>
      <c r="F42" s="8" t="s">
        <v>314</v>
      </c>
      <c r="G42" s="6" t="s">
        <v>37</v>
      </c>
      <c r="H42" s="6" t="s">
        <v>87</v>
      </c>
      <c r="I42" s="8" t="s">
        <v>39</v>
      </c>
      <c r="J42" s="9">
        <v>1</v>
      </c>
      <c r="K42" s="9">
        <v>166</v>
      </c>
      <c r="L42" s="9">
        <v>2024</v>
      </c>
      <c r="M42" s="8" t="s">
        <v>315</v>
      </c>
      <c r="N42" s="8" t="s">
        <v>41</v>
      </c>
      <c r="O42" s="8" t="s">
        <v>42</v>
      </c>
      <c r="P42" s="6" t="s">
        <v>77</v>
      </c>
      <c r="Q42" s="8" t="s">
        <v>316</v>
      </c>
      <c r="R42" s="10" t="s">
        <v>309</v>
      </c>
      <c r="S42" s="11"/>
      <c r="T42" s="6"/>
      <c r="U42" s="27" t="str">
        <f>HYPERLINK("https://media.infra-m.ru/2052/2052374/cover/2052374.jpg", "Обложка")</f>
        <v>Обложка</v>
      </c>
      <c r="V42" s="27" t="str">
        <f>HYPERLINK("https://znanium.com/catalog/product/2052374", "Ознакомиться")</f>
        <v>Ознакомиться</v>
      </c>
      <c r="W42" s="8" t="s">
        <v>310</v>
      </c>
      <c r="X42" s="6"/>
      <c r="Y42" s="6"/>
      <c r="Z42" s="6"/>
      <c r="AA42" s="6" t="s">
        <v>317</v>
      </c>
    </row>
    <row r="43" spans="1:27" s="4" customFormat="1" ht="51.95" customHeight="1">
      <c r="A43" s="5">
        <v>0</v>
      </c>
      <c r="B43" s="6" t="s">
        <v>318</v>
      </c>
      <c r="C43" s="7">
        <v>1090</v>
      </c>
      <c r="D43" s="8" t="s">
        <v>319</v>
      </c>
      <c r="E43" s="8" t="s">
        <v>320</v>
      </c>
      <c r="F43" s="8" t="s">
        <v>321</v>
      </c>
      <c r="G43" s="6" t="s">
        <v>37</v>
      </c>
      <c r="H43" s="6" t="s">
        <v>38</v>
      </c>
      <c r="I43" s="8" t="s">
        <v>75</v>
      </c>
      <c r="J43" s="9">
        <v>1</v>
      </c>
      <c r="K43" s="9">
        <v>236</v>
      </c>
      <c r="L43" s="9">
        <v>2024</v>
      </c>
      <c r="M43" s="8" t="s">
        <v>322</v>
      </c>
      <c r="N43" s="8" t="s">
        <v>41</v>
      </c>
      <c r="O43" s="8" t="s">
        <v>42</v>
      </c>
      <c r="P43" s="6" t="s">
        <v>185</v>
      </c>
      <c r="Q43" s="8" t="s">
        <v>78</v>
      </c>
      <c r="R43" s="10" t="s">
        <v>323</v>
      </c>
      <c r="S43" s="11" t="s">
        <v>324</v>
      </c>
      <c r="T43" s="6"/>
      <c r="U43" s="27" t="str">
        <f>HYPERLINK("https://media.infra-m.ru/2086/2086784/cover/2086784.jpg", "Обложка")</f>
        <v>Обложка</v>
      </c>
      <c r="V43" s="27" t="str">
        <f>HYPERLINK("https://znanium.com/catalog/product/2086784", "Ознакомиться")</f>
        <v>Ознакомиться</v>
      </c>
      <c r="W43" s="8" t="s">
        <v>325</v>
      </c>
      <c r="X43" s="6"/>
      <c r="Y43" s="6"/>
      <c r="Z43" s="6"/>
      <c r="AA43" s="6" t="s">
        <v>70</v>
      </c>
    </row>
    <row r="44" spans="1:27" s="4" customFormat="1" ht="42" customHeight="1">
      <c r="A44" s="5">
        <v>0</v>
      </c>
      <c r="B44" s="6" t="s">
        <v>326</v>
      </c>
      <c r="C44" s="13">
        <v>980</v>
      </c>
      <c r="D44" s="8" t="s">
        <v>327</v>
      </c>
      <c r="E44" s="8" t="s">
        <v>328</v>
      </c>
      <c r="F44" s="8" t="s">
        <v>329</v>
      </c>
      <c r="G44" s="6" t="s">
        <v>165</v>
      </c>
      <c r="H44" s="6" t="s">
        <v>38</v>
      </c>
      <c r="I44" s="8" t="s">
        <v>330</v>
      </c>
      <c r="J44" s="9">
        <v>1</v>
      </c>
      <c r="K44" s="9">
        <v>200</v>
      </c>
      <c r="L44" s="9">
        <v>2023</v>
      </c>
      <c r="M44" s="8" t="s">
        <v>331</v>
      </c>
      <c r="N44" s="8" t="s">
        <v>41</v>
      </c>
      <c r="O44" s="8" t="s">
        <v>42</v>
      </c>
      <c r="P44" s="6" t="s">
        <v>77</v>
      </c>
      <c r="Q44" s="8" t="s">
        <v>124</v>
      </c>
      <c r="R44" s="10" t="s">
        <v>332</v>
      </c>
      <c r="S44" s="11"/>
      <c r="T44" s="6"/>
      <c r="U44" s="27" t="str">
        <f>HYPERLINK("https://media.infra-m.ru/1913/1913592/cover/1913592.jpg", "Обложка")</f>
        <v>Обложка</v>
      </c>
      <c r="V44" s="27" t="str">
        <f>HYPERLINK("https://znanium.com/catalog/product/1913592", "Ознакомиться")</f>
        <v>Ознакомиться</v>
      </c>
      <c r="W44" s="8" t="s">
        <v>333</v>
      </c>
      <c r="X44" s="6" t="s">
        <v>334</v>
      </c>
      <c r="Y44" s="6"/>
      <c r="Z44" s="6"/>
      <c r="AA44" s="6" t="s">
        <v>61</v>
      </c>
    </row>
    <row r="45" spans="1:27" s="4" customFormat="1" ht="51.95" customHeight="1">
      <c r="A45" s="5">
        <v>0</v>
      </c>
      <c r="B45" s="6" t="s">
        <v>335</v>
      </c>
      <c r="C45" s="7">
        <v>1194.9000000000001</v>
      </c>
      <c r="D45" s="8" t="s">
        <v>336</v>
      </c>
      <c r="E45" s="8" t="s">
        <v>337</v>
      </c>
      <c r="F45" s="8" t="s">
        <v>338</v>
      </c>
      <c r="G45" s="6" t="s">
        <v>37</v>
      </c>
      <c r="H45" s="6" t="s">
        <v>248</v>
      </c>
      <c r="I45" s="8" t="s">
        <v>248</v>
      </c>
      <c r="J45" s="9">
        <v>1</v>
      </c>
      <c r="K45" s="9">
        <v>264</v>
      </c>
      <c r="L45" s="9">
        <v>2023</v>
      </c>
      <c r="M45" s="8" t="s">
        <v>339</v>
      </c>
      <c r="N45" s="8" t="s">
        <v>56</v>
      </c>
      <c r="O45" s="8" t="s">
        <v>57</v>
      </c>
      <c r="P45" s="6" t="s">
        <v>150</v>
      </c>
      <c r="Q45" s="8" t="s">
        <v>89</v>
      </c>
      <c r="R45" s="10" t="s">
        <v>340</v>
      </c>
      <c r="S45" s="11"/>
      <c r="T45" s="6"/>
      <c r="U45" s="27" t="str">
        <f>HYPERLINK("https://media.infra-m.ru/1903/1903985/cover/1903985.jpg", "Обложка")</f>
        <v>Обложка</v>
      </c>
      <c r="V45" s="27" t="str">
        <f>HYPERLINK("https://znanium.com/catalog/product/1903882", "Ознакомиться")</f>
        <v>Ознакомиться</v>
      </c>
      <c r="W45" s="8" t="s">
        <v>341</v>
      </c>
      <c r="X45" s="6"/>
      <c r="Y45" s="6"/>
      <c r="Z45" s="6"/>
      <c r="AA45" s="6" t="s">
        <v>101</v>
      </c>
    </row>
    <row r="46" spans="1:27" s="4" customFormat="1" ht="51.95" customHeight="1">
      <c r="A46" s="5">
        <v>0</v>
      </c>
      <c r="B46" s="6" t="s">
        <v>342</v>
      </c>
      <c r="C46" s="7">
        <v>1430</v>
      </c>
      <c r="D46" s="8" t="s">
        <v>343</v>
      </c>
      <c r="E46" s="8" t="s">
        <v>344</v>
      </c>
      <c r="F46" s="8" t="s">
        <v>345</v>
      </c>
      <c r="G46" s="6" t="s">
        <v>37</v>
      </c>
      <c r="H46" s="6" t="s">
        <v>38</v>
      </c>
      <c r="I46" s="8" t="s">
        <v>183</v>
      </c>
      <c r="J46" s="9">
        <v>1</v>
      </c>
      <c r="K46" s="9">
        <v>309</v>
      </c>
      <c r="L46" s="9">
        <v>2023</v>
      </c>
      <c r="M46" s="8" t="s">
        <v>346</v>
      </c>
      <c r="N46" s="8" t="s">
        <v>56</v>
      </c>
      <c r="O46" s="8" t="s">
        <v>57</v>
      </c>
      <c r="P46" s="6" t="s">
        <v>77</v>
      </c>
      <c r="Q46" s="8" t="s">
        <v>89</v>
      </c>
      <c r="R46" s="10" t="s">
        <v>347</v>
      </c>
      <c r="S46" s="11" t="s">
        <v>348</v>
      </c>
      <c r="T46" s="6"/>
      <c r="U46" s="27" t="str">
        <f>HYPERLINK("https://media.infra-m.ru/2122/2122431/cover/2122431.jpg", "Обложка")</f>
        <v>Обложка</v>
      </c>
      <c r="V46" s="27" t="str">
        <f>HYPERLINK("https://znanium.com/catalog/product/2117637", "Ознакомиться")</f>
        <v>Ознакомиться</v>
      </c>
      <c r="W46" s="8" t="s">
        <v>349</v>
      </c>
      <c r="X46" s="6"/>
      <c r="Y46" s="6"/>
      <c r="Z46" s="6"/>
      <c r="AA46" s="6" t="s">
        <v>128</v>
      </c>
    </row>
    <row r="47" spans="1:27" s="4" customFormat="1" ht="44.1" customHeight="1">
      <c r="A47" s="5">
        <v>0</v>
      </c>
      <c r="B47" s="6" t="s">
        <v>350</v>
      </c>
      <c r="C47" s="13">
        <v>860</v>
      </c>
      <c r="D47" s="8" t="s">
        <v>351</v>
      </c>
      <c r="E47" s="8" t="s">
        <v>352</v>
      </c>
      <c r="F47" s="8" t="s">
        <v>353</v>
      </c>
      <c r="G47" s="6" t="s">
        <v>53</v>
      </c>
      <c r="H47" s="6" t="s">
        <v>38</v>
      </c>
      <c r="I47" s="8" t="s">
        <v>54</v>
      </c>
      <c r="J47" s="9">
        <v>1</v>
      </c>
      <c r="K47" s="9">
        <v>232</v>
      </c>
      <c r="L47" s="9">
        <v>2021</v>
      </c>
      <c r="M47" s="8" t="s">
        <v>354</v>
      </c>
      <c r="N47" s="8" t="s">
        <v>41</v>
      </c>
      <c r="O47" s="8" t="s">
        <v>42</v>
      </c>
      <c r="P47" s="6" t="s">
        <v>58</v>
      </c>
      <c r="Q47" s="8" t="s">
        <v>44</v>
      </c>
      <c r="R47" s="10" t="s">
        <v>355</v>
      </c>
      <c r="S47" s="11"/>
      <c r="T47" s="6"/>
      <c r="U47" s="27" t="str">
        <f>HYPERLINK("https://media.infra-m.ru/1158/1158751/cover/1158751.jpg", "Обложка")</f>
        <v>Обложка</v>
      </c>
      <c r="V47" s="27" t="str">
        <f>HYPERLINK("https://znanium.com/catalog/product/1158751", "Ознакомиться")</f>
        <v>Ознакомиться</v>
      </c>
      <c r="W47" s="8" t="s">
        <v>356</v>
      </c>
      <c r="X47" s="6"/>
      <c r="Y47" s="6"/>
      <c r="Z47" s="6"/>
      <c r="AA47" s="6" t="s">
        <v>128</v>
      </c>
    </row>
    <row r="48" spans="1:27" s="4" customFormat="1" ht="51.95" customHeight="1">
      <c r="A48" s="5">
        <v>0</v>
      </c>
      <c r="B48" s="6" t="s">
        <v>357</v>
      </c>
      <c r="C48" s="7">
        <v>1900</v>
      </c>
      <c r="D48" s="8" t="s">
        <v>358</v>
      </c>
      <c r="E48" s="8" t="s">
        <v>359</v>
      </c>
      <c r="F48" s="8" t="s">
        <v>360</v>
      </c>
      <c r="G48" s="6" t="s">
        <v>53</v>
      </c>
      <c r="H48" s="6" t="s">
        <v>38</v>
      </c>
      <c r="I48" s="8" t="s">
        <v>54</v>
      </c>
      <c r="J48" s="9">
        <v>1</v>
      </c>
      <c r="K48" s="9">
        <v>412</v>
      </c>
      <c r="L48" s="9">
        <v>2024</v>
      </c>
      <c r="M48" s="8" t="s">
        <v>361</v>
      </c>
      <c r="N48" s="8" t="s">
        <v>56</v>
      </c>
      <c r="O48" s="8" t="s">
        <v>57</v>
      </c>
      <c r="P48" s="6" t="s">
        <v>58</v>
      </c>
      <c r="Q48" s="8" t="s">
        <v>44</v>
      </c>
      <c r="R48" s="10" t="s">
        <v>362</v>
      </c>
      <c r="S48" s="11"/>
      <c r="T48" s="6"/>
      <c r="U48" s="27" t="str">
        <f>HYPERLINK("https://media.infra-m.ru/2063/2063419/cover/2063419.jpg", "Обложка")</f>
        <v>Обложка</v>
      </c>
      <c r="V48" s="27" t="str">
        <f>HYPERLINK("https://znanium.com/catalog/product/2063419", "Ознакомиться")</f>
        <v>Ознакомиться</v>
      </c>
      <c r="W48" s="8" t="s">
        <v>363</v>
      </c>
      <c r="X48" s="6"/>
      <c r="Y48" s="6"/>
      <c r="Z48" s="6"/>
      <c r="AA48" s="6" t="s">
        <v>61</v>
      </c>
    </row>
    <row r="49" spans="1:27" s="4" customFormat="1" ht="51.95" customHeight="1">
      <c r="A49" s="5">
        <v>0</v>
      </c>
      <c r="B49" s="6" t="s">
        <v>364</v>
      </c>
      <c r="C49" s="13">
        <v>750</v>
      </c>
      <c r="D49" s="8" t="s">
        <v>365</v>
      </c>
      <c r="E49" s="8" t="s">
        <v>366</v>
      </c>
      <c r="F49" s="8" t="s">
        <v>367</v>
      </c>
      <c r="G49" s="6" t="s">
        <v>37</v>
      </c>
      <c r="H49" s="6" t="s">
        <v>38</v>
      </c>
      <c r="I49" s="8" t="s">
        <v>173</v>
      </c>
      <c r="J49" s="9">
        <v>1</v>
      </c>
      <c r="K49" s="9">
        <v>189</v>
      </c>
      <c r="L49" s="9">
        <v>2022</v>
      </c>
      <c r="M49" s="8" t="s">
        <v>368</v>
      </c>
      <c r="N49" s="8" t="s">
        <v>56</v>
      </c>
      <c r="O49" s="8" t="s">
        <v>57</v>
      </c>
      <c r="P49" s="6" t="s">
        <v>185</v>
      </c>
      <c r="Q49" s="8" t="s">
        <v>89</v>
      </c>
      <c r="R49" s="10" t="s">
        <v>369</v>
      </c>
      <c r="S49" s="11" t="s">
        <v>370</v>
      </c>
      <c r="T49" s="6"/>
      <c r="U49" s="27" t="str">
        <f>HYPERLINK("https://media.infra-m.ru/1860/1860859/cover/1860859.jpg", "Обложка")</f>
        <v>Обложка</v>
      </c>
      <c r="V49" s="27" t="str">
        <f>HYPERLINK("https://znanium.com/catalog/product/1860859", "Ознакомиться")</f>
        <v>Ознакомиться</v>
      </c>
      <c r="W49" s="8" t="s">
        <v>371</v>
      </c>
      <c r="X49" s="6"/>
      <c r="Y49" s="6"/>
      <c r="Z49" s="6"/>
      <c r="AA49" s="6" t="s">
        <v>372</v>
      </c>
    </row>
    <row r="50" spans="1:27" s="4" customFormat="1" ht="42" customHeight="1">
      <c r="A50" s="5">
        <v>0</v>
      </c>
      <c r="B50" s="6" t="s">
        <v>373</v>
      </c>
      <c r="C50" s="7">
        <v>1530</v>
      </c>
      <c r="D50" s="8" t="s">
        <v>374</v>
      </c>
      <c r="E50" s="8" t="s">
        <v>375</v>
      </c>
      <c r="F50" s="8" t="s">
        <v>376</v>
      </c>
      <c r="G50" s="6" t="s">
        <v>53</v>
      </c>
      <c r="H50" s="6" t="s">
        <v>38</v>
      </c>
      <c r="I50" s="8" t="s">
        <v>54</v>
      </c>
      <c r="J50" s="9">
        <v>1</v>
      </c>
      <c r="K50" s="9">
        <v>331</v>
      </c>
      <c r="L50" s="9">
        <v>2024</v>
      </c>
      <c r="M50" s="8" t="s">
        <v>377</v>
      </c>
      <c r="N50" s="8" t="s">
        <v>41</v>
      </c>
      <c r="O50" s="8" t="s">
        <v>42</v>
      </c>
      <c r="P50" s="6" t="s">
        <v>58</v>
      </c>
      <c r="Q50" s="8" t="s">
        <v>44</v>
      </c>
      <c r="R50" s="10" t="s">
        <v>378</v>
      </c>
      <c r="S50" s="11"/>
      <c r="T50" s="6"/>
      <c r="U50" s="27" t="str">
        <f>HYPERLINK("https://media.infra-m.ru/2058/2058502/cover/2058502.jpg", "Обложка")</f>
        <v>Обложка</v>
      </c>
      <c r="V50" s="27" t="str">
        <f>HYPERLINK("https://znanium.com/catalog/product/1064967", "Ознакомиться")</f>
        <v>Ознакомиться</v>
      </c>
      <c r="W50" s="8" t="s">
        <v>379</v>
      </c>
      <c r="X50" s="6"/>
      <c r="Y50" s="6"/>
      <c r="Z50" s="6"/>
      <c r="AA50" s="6" t="s">
        <v>136</v>
      </c>
    </row>
    <row r="51" spans="1:27" s="4" customFormat="1" ht="42" customHeight="1">
      <c r="A51" s="5">
        <v>0</v>
      </c>
      <c r="B51" s="6" t="s">
        <v>380</v>
      </c>
      <c r="C51" s="13">
        <v>770</v>
      </c>
      <c r="D51" s="8" t="s">
        <v>381</v>
      </c>
      <c r="E51" s="8" t="s">
        <v>382</v>
      </c>
      <c r="F51" s="8" t="s">
        <v>383</v>
      </c>
      <c r="G51" s="6" t="s">
        <v>53</v>
      </c>
      <c r="H51" s="6" t="s">
        <v>38</v>
      </c>
      <c r="I51" s="8" t="s">
        <v>54</v>
      </c>
      <c r="J51" s="9">
        <v>1</v>
      </c>
      <c r="K51" s="9">
        <v>172</v>
      </c>
      <c r="L51" s="9">
        <v>2023</v>
      </c>
      <c r="M51" s="8" t="s">
        <v>384</v>
      </c>
      <c r="N51" s="8" t="s">
        <v>56</v>
      </c>
      <c r="O51" s="8" t="s">
        <v>57</v>
      </c>
      <c r="P51" s="6" t="s">
        <v>58</v>
      </c>
      <c r="Q51" s="8" t="s">
        <v>44</v>
      </c>
      <c r="R51" s="10" t="s">
        <v>385</v>
      </c>
      <c r="S51" s="11"/>
      <c r="T51" s="6"/>
      <c r="U51" s="27" t="str">
        <f>HYPERLINK("https://media.infra-m.ru/1904/1904242/cover/1904242.jpg", "Обложка")</f>
        <v>Обложка</v>
      </c>
      <c r="V51" s="27" t="str">
        <f>HYPERLINK("https://znanium.com/catalog/product/1904242", "Ознакомиться")</f>
        <v>Ознакомиться</v>
      </c>
      <c r="W51" s="8" t="s">
        <v>386</v>
      </c>
      <c r="X51" s="6"/>
      <c r="Y51" s="6"/>
      <c r="Z51" s="6"/>
      <c r="AA51" s="6" t="s">
        <v>208</v>
      </c>
    </row>
    <row r="52" spans="1:27" s="4" customFormat="1" ht="51.95" customHeight="1">
      <c r="A52" s="5">
        <v>0</v>
      </c>
      <c r="B52" s="6" t="s">
        <v>387</v>
      </c>
      <c r="C52" s="7">
        <v>1294.9000000000001</v>
      </c>
      <c r="D52" s="8" t="s">
        <v>388</v>
      </c>
      <c r="E52" s="8" t="s">
        <v>389</v>
      </c>
      <c r="F52" s="8" t="s">
        <v>390</v>
      </c>
      <c r="G52" s="6" t="s">
        <v>53</v>
      </c>
      <c r="H52" s="6" t="s">
        <v>87</v>
      </c>
      <c r="I52" s="8" t="s">
        <v>183</v>
      </c>
      <c r="J52" s="9">
        <v>1</v>
      </c>
      <c r="K52" s="9">
        <v>288</v>
      </c>
      <c r="L52" s="9">
        <v>2023</v>
      </c>
      <c r="M52" s="8" t="s">
        <v>391</v>
      </c>
      <c r="N52" s="8" t="s">
        <v>56</v>
      </c>
      <c r="O52" s="8" t="s">
        <v>57</v>
      </c>
      <c r="P52" s="6" t="s">
        <v>77</v>
      </c>
      <c r="Q52" s="8" t="s">
        <v>89</v>
      </c>
      <c r="R52" s="10" t="s">
        <v>392</v>
      </c>
      <c r="S52" s="11" t="s">
        <v>393</v>
      </c>
      <c r="T52" s="6"/>
      <c r="U52" s="27" t="str">
        <f>HYPERLINK("https://media.infra-m.ru/1923/1923186/cover/1923186.jpg", "Обложка")</f>
        <v>Обложка</v>
      </c>
      <c r="V52" s="27" t="str">
        <f>HYPERLINK("https://znanium.com/catalog/product/1817993", "Ознакомиться")</f>
        <v>Ознакомиться</v>
      </c>
      <c r="W52" s="8" t="s">
        <v>262</v>
      </c>
      <c r="X52" s="6"/>
      <c r="Y52" s="6"/>
      <c r="Z52" s="6"/>
      <c r="AA52" s="6" t="s">
        <v>394</v>
      </c>
    </row>
    <row r="53" spans="1:27" s="4" customFormat="1" ht="51.95" customHeight="1">
      <c r="A53" s="5">
        <v>0</v>
      </c>
      <c r="B53" s="6" t="s">
        <v>395</v>
      </c>
      <c r="C53" s="7">
        <v>1720</v>
      </c>
      <c r="D53" s="8" t="s">
        <v>396</v>
      </c>
      <c r="E53" s="8" t="s">
        <v>397</v>
      </c>
      <c r="F53" s="8" t="s">
        <v>398</v>
      </c>
      <c r="G53" s="6" t="s">
        <v>37</v>
      </c>
      <c r="H53" s="6" t="s">
        <v>38</v>
      </c>
      <c r="I53" s="8" t="s">
        <v>75</v>
      </c>
      <c r="J53" s="9">
        <v>1</v>
      </c>
      <c r="K53" s="9">
        <v>372</v>
      </c>
      <c r="L53" s="9">
        <v>2024</v>
      </c>
      <c r="M53" s="8" t="s">
        <v>399</v>
      </c>
      <c r="N53" s="8" t="s">
        <v>56</v>
      </c>
      <c r="O53" s="8" t="s">
        <v>57</v>
      </c>
      <c r="P53" s="6" t="s">
        <v>150</v>
      </c>
      <c r="Q53" s="8" t="s">
        <v>78</v>
      </c>
      <c r="R53" s="10" t="s">
        <v>254</v>
      </c>
      <c r="S53" s="11" t="s">
        <v>400</v>
      </c>
      <c r="T53" s="6"/>
      <c r="U53" s="27" t="str">
        <f>HYPERLINK("https://media.infra-m.ru/2100/2100007/cover/2100007.jpg", "Обложка")</f>
        <v>Обложка</v>
      </c>
      <c r="V53" s="27" t="str">
        <f>HYPERLINK("https://znanium.com/catalog/product/2100007", "Ознакомиться")</f>
        <v>Ознакомиться</v>
      </c>
      <c r="W53" s="8" t="s">
        <v>401</v>
      </c>
      <c r="X53" s="6"/>
      <c r="Y53" s="6"/>
      <c r="Z53" s="6"/>
      <c r="AA53" s="6" t="s">
        <v>402</v>
      </c>
    </row>
    <row r="54" spans="1:27" s="4" customFormat="1" ht="51.95" customHeight="1">
      <c r="A54" s="5">
        <v>0</v>
      </c>
      <c r="B54" s="6" t="s">
        <v>403</v>
      </c>
      <c r="C54" s="7">
        <v>1770</v>
      </c>
      <c r="D54" s="8" t="s">
        <v>404</v>
      </c>
      <c r="E54" s="8" t="s">
        <v>405</v>
      </c>
      <c r="F54" s="8" t="s">
        <v>398</v>
      </c>
      <c r="G54" s="6" t="s">
        <v>37</v>
      </c>
      <c r="H54" s="6" t="s">
        <v>38</v>
      </c>
      <c r="I54" s="8" t="s">
        <v>183</v>
      </c>
      <c r="J54" s="9">
        <v>1</v>
      </c>
      <c r="K54" s="9">
        <v>384</v>
      </c>
      <c r="L54" s="9">
        <v>2024</v>
      </c>
      <c r="M54" s="8" t="s">
        <v>406</v>
      </c>
      <c r="N54" s="8" t="s">
        <v>56</v>
      </c>
      <c r="O54" s="8" t="s">
        <v>57</v>
      </c>
      <c r="P54" s="6" t="s">
        <v>150</v>
      </c>
      <c r="Q54" s="8" t="s">
        <v>89</v>
      </c>
      <c r="R54" s="10" t="s">
        <v>295</v>
      </c>
      <c r="S54" s="11" t="s">
        <v>407</v>
      </c>
      <c r="T54" s="6"/>
      <c r="U54" s="27" t="str">
        <f>HYPERLINK("https://media.infra-m.ru/2079/2079955/cover/2079955.jpg", "Обложка")</f>
        <v>Обложка</v>
      </c>
      <c r="V54" s="27" t="str">
        <f>HYPERLINK("https://znanium.com/catalog/product/2079955", "Ознакомиться")</f>
        <v>Ознакомиться</v>
      </c>
      <c r="W54" s="8" t="s">
        <v>401</v>
      </c>
      <c r="X54" s="6"/>
      <c r="Y54" s="6"/>
      <c r="Z54" s="6"/>
      <c r="AA54" s="6" t="s">
        <v>408</v>
      </c>
    </row>
    <row r="55" spans="1:27" s="4" customFormat="1" ht="51.95" customHeight="1">
      <c r="A55" s="5">
        <v>0</v>
      </c>
      <c r="B55" s="6" t="s">
        <v>409</v>
      </c>
      <c r="C55" s="7">
        <v>1350</v>
      </c>
      <c r="D55" s="8" t="s">
        <v>410</v>
      </c>
      <c r="E55" s="8" t="s">
        <v>411</v>
      </c>
      <c r="F55" s="8" t="s">
        <v>412</v>
      </c>
      <c r="G55" s="6" t="s">
        <v>37</v>
      </c>
      <c r="H55" s="6" t="s">
        <v>38</v>
      </c>
      <c r="I55" s="8" t="s">
        <v>173</v>
      </c>
      <c r="J55" s="9">
        <v>1</v>
      </c>
      <c r="K55" s="9">
        <v>299</v>
      </c>
      <c r="L55" s="9">
        <v>2023</v>
      </c>
      <c r="M55" s="8" t="s">
        <v>413</v>
      </c>
      <c r="N55" s="8" t="s">
        <v>41</v>
      </c>
      <c r="O55" s="8" t="s">
        <v>42</v>
      </c>
      <c r="P55" s="6" t="s">
        <v>185</v>
      </c>
      <c r="Q55" s="8" t="s">
        <v>89</v>
      </c>
      <c r="R55" s="10" t="s">
        <v>414</v>
      </c>
      <c r="S55" s="11" t="s">
        <v>415</v>
      </c>
      <c r="T55" s="6"/>
      <c r="U55" s="27" t="str">
        <f>HYPERLINK("https://media.infra-m.ru/1905/1905905/cover/1905905.jpg", "Обложка")</f>
        <v>Обложка</v>
      </c>
      <c r="V55" s="27" t="str">
        <f>HYPERLINK("https://znanium.com/catalog/product/1905905", "Ознакомиться")</f>
        <v>Ознакомиться</v>
      </c>
      <c r="W55" s="8" t="s">
        <v>116</v>
      </c>
      <c r="X55" s="6"/>
      <c r="Y55" s="6"/>
      <c r="Z55" s="6"/>
      <c r="AA55" s="6" t="s">
        <v>178</v>
      </c>
    </row>
    <row r="56" spans="1:27" s="4" customFormat="1" ht="51.95" customHeight="1">
      <c r="A56" s="5">
        <v>0</v>
      </c>
      <c r="B56" s="6" t="s">
        <v>416</v>
      </c>
      <c r="C56" s="13">
        <v>910</v>
      </c>
      <c r="D56" s="8" t="s">
        <v>417</v>
      </c>
      <c r="E56" s="8" t="s">
        <v>418</v>
      </c>
      <c r="F56" s="8" t="s">
        <v>419</v>
      </c>
      <c r="G56" s="6" t="s">
        <v>37</v>
      </c>
      <c r="H56" s="6" t="s">
        <v>38</v>
      </c>
      <c r="I56" s="8" t="s">
        <v>54</v>
      </c>
      <c r="J56" s="9">
        <v>1</v>
      </c>
      <c r="K56" s="9">
        <v>267</v>
      </c>
      <c r="L56" s="9">
        <v>2019</v>
      </c>
      <c r="M56" s="8" t="s">
        <v>420</v>
      </c>
      <c r="N56" s="8" t="s">
        <v>41</v>
      </c>
      <c r="O56" s="8" t="s">
        <v>42</v>
      </c>
      <c r="P56" s="6" t="s">
        <v>58</v>
      </c>
      <c r="Q56" s="8" t="s">
        <v>44</v>
      </c>
      <c r="R56" s="10" t="s">
        <v>421</v>
      </c>
      <c r="S56" s="11"/>
      <c r="T56" s="6"/>
      <c r="U56" s="27" t="str">
        <f>HYPERLINK("https://media.infra-m.ru/1032/1032359/cover/1032359.jpg", "Обложка")</f>
        <v>Обложка</v>
      </c>
      <c r="V56" s="27" t="str">
        <f>HYPERLINK("https://znanium.com/catalog/product/1045947", "Ознакомиться")</f>
        <v>Ознакомиться</v>
      </c>
      <c r="W56" s="8" t="s">
        <v>422</v>
      </c>
      <c r="X56" s="6"/>
      <c r="Y56" s="6"/>
      <c r="Z56" s="6"/>
      <c r="AA56" s="6" t="s">
        <v>83</v>
      </c>
    </row>
    <row r="57" spans="1:27" s="4" customFormat="1" ht="51.95" customHeight="1">
      <c r="A57" s="5">
        <v>0</v>
      </c>
      <c r="B57" s="6" t="s">
        <v>423</v>
      </c>
      <c r="C57" s="7">
        <v>1474</v>
      </c>
      <c r="D57" s="8" t="s">
        <v>424</v>
      </c>
      <c r="E57" s="8" t="s">
        <v>425</v>
      </c>
      <c r="F57" s="8" t="s">
        <v>426</v>
      </c>
      <c r="G57" s="6" t="s">
        <v>37</v>
      </c>
      <c r="H57" s="6" t="s">
        <v>38</v>
      </c>
      <c r="I57" s="8" t="s">
        <v>54</v>
      </c>
      <c r="J57" s="9">
        <v>1</v>
      </c>
      <c r="K57" s="9">
        <v>323</v>
      </c>
      <c r="L57" s="9">
        <v>2023</v>
      </c>
      <c r="M57" s="8" t="s">
        <v>427</v>
      </c>
      <c r="N57" s="8" t="s">
        <v>41</v>
      </c>
      <c r="O57" s="8" t="s">
        <v>42</v>
      </c>
      <c r="P57" s="6" t="s">
        <v>58</v>
      </c>
      <c r="Q57" s="8" t="s">
        <v>44</v>
      </c>
      <c r="R57" s="10" t="s">
        <v>421</v>
      </c>
      <c r="S57" s="11"/>
      <c r="T57" s="6"/>
      <c r="U57" s="27" t="str">
        <f>HYPERLINK("https://media.infra-m.ru/2006/2006929/cover/2006929.jpg", "Обложка")</f>
        <v>Обложка</v>
      </c>
      <c r="V57" s="27" t="str">
        <f>HYPERLINK("https://znanium.com/catalog/product/1045947", "Ознакомиться")</f>
        <v>Ознакомиться</v>
      </c>
      <c r="W57" s="8" t="s">
        <v>422</v>
      </c>
      <c r="X57" s="6"/>
      <c r="Y57" s="6"/>
      <c r="Z57" s="6"/>
      <c r="AA57" s="6" t="s">
        <v>189</v>
      </c>
    </row>
    <row r="58" spans="1:27" s="4" customFormat="1" ht="51.95" customHeight="1">
      <c r="A58" s="5">
        <v>0</v>
      </c>
      <c r="B58" s="6" t="s">
        <v>428</v>
      </c>
      <c r="C58" s="13">
        <v>740</v>
      </c>
      <c r="D58" s="8" t="s">
        <v>429</v>
      </c>
      <c r="E58" s="8" t="s">
        <v>430</v>
      </c>
      <c r="F58" s="8" t="s">
        <v>431</v>
      </c>
      <c r="G58" s="6" t="s">
        <v>37</v>
      </c>
      <c r="H58" s="6" t="s">
        <v>38</v>
      </c>
      <c r="I58" s="8" t="s">
        <v>148</v>
      </c>
      <c r="J58" s="9">
        <v>1</v>
      </c>
      <c r="K58" s="9">
        <v>253</v>
      </c>
      <c r="L58" s="9">
        <v>2018</v>
      </c>
      <c r="M58" s="8" t="s">
        <v>432</v>
      </c>
      <c r="N58" s="8" t="s">
        <v>41</v>
      </c>
      <c r="O58" s="8" t="s">
        <v>42</v>
      </c>
      <c r="P58" s="6" t="s">
        <v>433</v>
      </c>
      <c r="Q58" s="8" t="s">
        <v>151</v>
      </c>
      <c r="R58" s="10" t="s">
        <v>434</v>
      </c>
      <c r="S58" s="11"/>
      <c r="T58" s="6"/>
      <c r="U58" s="27" t="str">
        <f>HYPERLINK("https://media.infra-m.ru/0938/0938946/cover/938946.jpg", "Обложка")</f>
        <v>Обложка</v>
      </c>
      <c r="V58" s="27" t="str">
        <f>HYPERLINK("https://znanium.com/catalog/product/1913609", "Ознакомиться")</f>
        <v>Ознакомиться</v>
      </c>
      <c r="W58" s="8" t="s">
        <v>435</v>
      </c>
      <c r="X58" s="6"/>
      <c r="Y58" s="6"/>
      <c r="Z58" s="6"/>
      <c r="AA58" s="6" t="s">
        <v>436</v>
      </c>
    </row>
    <row r="59" spans="1:27" s="4" customFormat="1" ht="51.95" customHeight="1">
      <c r="A59" s="5">
        <v>0</v>
      </c>
      <c r="B59" s="6" t="s">
        <v>437</v>
      </c>
      <c r="C59" s="13">
        <v>820</v>
      </c>
      <c r="D59" s="8" t="s">
        <v>438</v>
      </c>
      <c r="E59" s="8" t="s">
        <v>439</v>
      </c>
      <c r="F59" s="8" t="s">
        <v>440</v>
      </c>
      <c r="G59" s="6" t="s">
        <v>37</v>
      </c>
      <c r="H59" s="6" t="s">
        <v>38</v>
      </c>
      <c r="I59" s="8" t="s">
        <v>183</v>
      </c>
      <c r="J59" s="9">
        <v>1</v>
      </c>
      <c r="K59" s="9">
        <v>160</v>
      </c>
      <c r="L59" s="9">
        <v>2024</v>
      </c>
      <c r="M59" s="8" t="s">
        <v>441</v>
      </c>
      <c r="N59" s="8" t="s">
        <v>41</v>
      </c>
      <c r="O59" s="8" t="s">
        <v>42</v>
      </c>
      <c r="P59" s="6" t="s">
        <v>185</v>
      </c>
      <c r="Q59" s="8" t="s">
        <v>316</v>
      </c>
      <c r="R59" s="10" t="s">
        <v>442</v>
      </c>
      <c r="S59" s="11" t="s">
        <v>443</v>
      </c>
      <c r="T59" s="6"/>
      <c r="U59" s="27" t="str">
        <f>HYPERLINK("https://media.infra-m.ru/2043/2043280/cover/2043280.jpg", "Обложка")</f>
        <v>Обложка</v>
      </c>
      <c r="V59" s="27" t="str">
        <f>HYPERLINK("https://znanium.com/catalog/product/2043280", "Ознакомиться")</f>
        <v>Ознакомиться</v>
      </c>
      <c r="W59" s="8" t="s">
        <v>444</v>
      </c>
      <c r="X59" s="6"/>
      <c r="Y59" s="6"/>
      <c r="Z59" s="6"/>
      <c r="AA59" s="6" t="s">
        <v>208</v>
      </c>
    </row>
    <row r="60" spans="1:27" s="4" customFormat="1" ht="51.95" customHeight="1">
      <c r="A60" s="5">
        <v>0</v>
      </c>
      <c r="B60" s="6" t="s">
        <v>445</v>
      </c>
      <c r="C60" s="7">
        <v>1454</v>
      </c>
      <c r="D60" s="8" t="s">
        <v>446</v>
      </c>
      <c r="E60" s="8" t="s">
        <v>447</v>
      </c>
      <c r="F60" s="8" t="s">
        <v>247</v>
      </c>
      <c r="G60" s="6" t="s">
        <v>165</v>
      </c>
      <c r="H60" s="6" t="s">
        <v>248</v>
      </c>
      <c r="I60" s="8"/>
      <c r="J60" s="9">
        <v>1</v>
      </c>
      <c r="K60" s="9">
        <v>315</v>
      </c>
      <c r="L60" s="9">
        <v>2024</v>
      </c>
      <c r="M60" s="8" t="s">
        <v>448</v>
      </c>
      <c r="N60" s="8" t="s">
        <v>56</v>
      </c>
      <c r="O60" s="8" t="s">
        <v>57</v>
      </c>
      <c r="P60" s="6" t="s">
        <v>77</v>
      </c>
      <c r="Q60" s="8" t="s">
        <v>89</v>
      </c>
      <c r="R60" s="10" t="s">
        <v>340</v>
      </c>
      <c r="S60" s="11"/>
      <c r="T60" s="6"/>
      <c r="U60" s="27" t="str">
        <f>HYPERLINK("https://media.infra-m.ru/2094/2094484/cover/2094484.jpg", "Обложка")</f>
        <v>Обложка</v>
      </c>
      <c r="V60" s="27" t="str">
        <f>HYPERLINK("https://znanium.com/catalog/product/1841710", "Ознакомиться")</f>
        <v>Ознакомиться</v>
      </c>
      <c r="W60" s="8" t="s">
        <v>243</v>
      </c>
      <c r="X60" s="6"/>
      <c r="Y60" s="6"/>
      <c r="Z60" s="6"/>
      <c r="AA60" s="6" t="s">
        <v>250</v>
      </c>
    </row>
    <row r="61" spans="1:27" s="4" customFormat="1" ht="42" customHeight="1">
      <c r="A61" s="5">
        <v>0</v>
      </c>
      <c r="B61" s="6" t="s">
        <v>449</v>
      </c>
      <c r="C61" s="7">
        <v>1034</v>
      </c>
      <c r="D61" s="8" t="s">
        <v>450</v>
      </c>
      <c r="E61" s="8" t="s">
        <v>451</v>
      </c>
      <c r="F61" s="8" t="s">
        <v>452</v>
      </c>
      <c r="G61" s="6" t="s">
        <v>165</v>
      </c>
      <c r="H61" s="6" t="s">
        <v>38</v>
      </c>
      <c r="I61" s="8" t="s">
        <v>173</v>
      </c>
      <c r="J61" s="9">
        <v>1</v>
      </c>
      <c r="K61" s="9">
        <v>224</v>
      </c>
      <c r="L61" s="9">
        <v>2024</v>
      </c>
      <c r="M61" s="8" t="s">
        <v>453</v>
      </c>
      <c r="N61" s="8" t="s">
        <v>56</v>
      </c>
      <c r="O61" s="8" t="s">
        <v>57</v>
      </c>
      <c r="P61" s="6" t="s">
        <v>150</v>
      </c>
      <c r="Q61" s="8" t="s">
        <v>89</v>
      </c>
      <c r="R61" s="10" t="s">
        <v>385</v>
      </c>
      <c r="S61" s="11"/>
      <c r="T61" s="6" t="s">
        <v>46</v>
      </c>
      <c r="U61" s="27" t="str">
        <f>HYPERLINK("https://media.infra-m.ru/2094/2094490/cover/2094490.jpg", "Обложка")</f>
        <v>Обложка</v>
      </c>
      <c r="V61" s="27" t="str">
        <f>HYPERLINK("https://znanium.com/catalog/product/1851443", "Ознакомиться")</f>
        <v>Ознакомиться</v>
      </c>
      <c r="W61" s="8" t="s">
        <v>454</v>
      </c>
      <c r="X61" s="6"/>
      <c r="Y61" s="6"/>
      <c r="Z61" s="6"/>
      <c r="AA61" s="6" t="s">
        <v>208</v>
      </c>
    </row>
    <row r="62" spans="1:27" s="4" customFormat="1" ht="44.1" customHeight="1">
      <c r="A62" s="5">
        <v>0</v>
      </c>
      <c r="B62" s="6" t="s">
        <v>455</v>
      </c>
      <c r="C62" s="7">
        <v>1330</v>
      </c>
      <c r="D62" s="8" t="s">
        <v>456</v>
      </c>
      <c r="E62" s="8" t="s">
        <v>457</v>
      </c>
      <c r="F62" s="8" t="s">
        <v>458</v>
      </c>
      <c r="G62" s="6" t="s">
        <v>53</v>
      </c>
      <c r="H62" s="6" t="s">
        <v>38</v>
      </c>
      <c r="I62" s="8" t="s">
        <v>54</v>
      </c>
      <c r="J62" s="9">
        <v>1</v>
      </c>
      <c r="K62" s="9">
        <v>340</v>
      </c>
      <c r="L62" s="9">
        <v>2022</v>
      </c>
      <c r="M62" s="8" t="s">
        <v>459</v>
      </c>
      <c r="N62" s="8" t="s">
        <v>56</v>
      </c>
      <c r="O62" s="8" t="s">
        <v>57</v>
      </c>
      <c r="P62" s="6" t="s">
        <v>58</v>
      </c>
      <c r="Q62" s="8" t="s">
        <v>44</v>
      </c>
      <c r="R62" s="10" t="s">
        <v>460</v>
      </c>
      <c r="S62" s="11"/>
      <c r="T62" s="6"/>
      <c r="U62" s="27" t="str">
        <f>HYPERLINK("https://media.infra-m.ru/1864/1864236/cover/1864236.jpg", "Обложка")</f>
        <v>Обложка</v>
      </c>
      <c r="V62" s="27" t="str">
        <f>HYPERLINK("https://znanium.com/catalog/product/1864236", "Ознакомиться")</f>
        <v>Ознакомиться</v>
      </c>
      <c r="W62" s="8" t="s">
        <v>454</v>
      </c>
      <c r="X62" s="6"/>
      <c r="Y62" s="6"/>
      <c r="Z62" s="6"/>
      <c r="AA62" s="6" t="s">
        <v>101</v>
      </c>
    </row>
    <row r="63" spans="1:27" s="4" customFormat="1" ht="42" customHeight="1">
      <c r="A63" s="5">
        <v>0</v>
      </c>
      <c r="B63" s="6" t="s">
        <v>461</v>
      </c>
      <c r="C63" s="7">
        <v>1300</v>
      </c>
      <c r="D63" s="8" t="s">
        <v>462</v>
      </c>
      <c r="E63" s="8" t="s">
        <v>463</v>
      </c>
      <c r="F63" s="8" t="s">
        <v>464</v>
      </c>
      <c r="G63" s="6" t="s">
        <v>165</v>
      </c>
      <c r="H63" s="6" t="s">
        <v>38</v>
      </c>
      <c r="I63" s="8" t="s">
        <v>183</v>
      </c>
      <c r="J63" s="9">
        <v>1</v>
      </c>
      <c r="K63" s="9">
        <v>272</v>
      </c>
      <c r="L63" s="9">
        <v>2024</v>
      </c>
      <c r="M63" s="8" t="s">
        <v>465</v>
      </c>
      <c r="N63" s="8" t="s">
        <v>41</v>
      </c>
      <c r="O63" s="8" t="s">
        <v>42</v>
      </c>
      <c r="P63" s="6" t="s">
        <v>77</v>
      </c>
      <c r="Q63" s="8" t="s">
        <v>89</v>
      </c>
      <c r="R63" s="10" t="s">
        <v>466</v>
      </c>
      <c r="S63" s="11"/>
      <c r="T63" s="6"/>
      <c r="U63" s="27" t="str">
        <f>HYPERLINK("https://media.infra-m.ru/1079/1079943/cover/1079943.jpg", "Обложка")</f>
        <v>Обложка</v>
      </c>
      <c r="V63" s="27" t="str">
        <f>HYPERLINK("https://znanium.com/catalog/product/1079943", "Ознакомиться")</f>
        <v>Ознакомиться</v>
      </c>
      <c r="W63" s="8" t="s">
        <v>467</v>
      </c>
      <c r="X63" s="6" t="s">
        <v>468</v>
      </c>
      <c r="Y63" s="6"/>
      <c r="Z63" s="6"/>
      <c r="AA63" s="6" t="s">
        <v>270</v>
      </c>
    </row>
    <row r="64" spans="1:27" s="4" customFormat="1" ht="51.95" customHeight="1">
      <c r="A64" s="5">
        <v>0</v>
      </c>
      <c r="B64" s="6" t="s">
        <v>469</v>
      </c>
      <c r="C64" s="7">
        <v>1070</v>
      </c>
      <c r="D64" s="8" t="s">
        <v>470</v>
      </c>
      <c r="E64" s="8" t="s">
        <v>471</v>
      </c>
      <c r="F64" s="8" t="s">
        <v>472</v>
      </c>
      <c r="G64" s="6" t="s">
        <v>37</v>
      </c>
      <c r="H64" s="6" t="s">
        <v>38</v>
      </c>
      <c r="I64" s="8" t="s">
        <v>75</v>
      </c>
      <c r="J64" s="9">
        <v>1</v>
      </c>
      <c r="K64" s="9">
        <v>223</v>
      </c>
      <c r="L64" s="9">
        <v>2024</v>
      </c>
      <c r="M64" s="8" t="s">
        <v>473</v>
      </c>
      <c r="N64" s="8" t="s">
        <v>41</v>
      </c>
      <c r="O64" s="8" t="s">
        <v>42</v>
      </c>
      <c r="P64" s="6" t="s">
        <v>77</v>
      </c>
      <c r="Q64" s="8" t="s">
        <v>78</v>
      </c>
      <c r="R64" s="10" t="s">
        <v>474</v>
      </c>
      <c r="S64" s="11" t="s">
        <v>475</v>
      </c>
      <c r="T64" s="6"/>
      <c r="U64" s="27" t="str">
        <f>HYPERLINK("https://media.infra-m.ru/2096/2096934/cover/2096934.jpg", "Обложка")</f>
        <v>Обложка</v>
      </c>
      <c r="V64" s="27" t="str">
        <f>HYPERLINK("https://znanium.com/catalog/product/2096934", "Ознакомиться")</f>
        <v>Ознакомиться</v>
      </c>
      <c r="W64" s="8" t="s">
        <v>476</v>
      </c>
      <c r="X64" s="6"/>
      <c r="Y64" s="6"/>
      <c r="Z64" s="6"/>
      <c r="AA64" s="6" t="s">
        <v>178</v>
      </c>
    </row>
    <row r="65" spans="1:27" s="4" customFormat="1" ht="51.95" customHeight="1">
      <c r="A65" s="5">
        <v>0</v>
      </c>
      <c r="B65" s="6" t="s">
        <v>477</v>
      </c>
      <c r="C65" s="13">
        <v>930</v>
      </c>
      <c r="D65" s="8" t="s">
        <v>478</v>
      </c>
      <c r="E65" s="8" t="s">
        <v>479</v>
      </c>
      <c r="F65" s="8" t="s">
        <v>480</v>
      </c>
      <c r="G65" s="6" t="s">
        <v>37</v>
      </c>
      <c r="H65" s="6" t="s">
        <v>38</v>
      </c>
      <c r="I65" s="8" t="s">
        <v>122</v>
      </c>
      <c r="J65" s="9">
        <v>1</v>
      </c>
      <c r="K65" s="9">
        <v>182</v>
      </c>
      <c r="L65" s="9">
        <v>2024</v>
      </c>
      <c r="M65" s="8" t="s">
        <v>481</v>
      </c>
      <c r="N65" s="8" t="s">
        <v>41</v>
      </c>
      <c r="O65" s="8" t="s">
        <v>42</v>
      </c>
      <c r="P65" s="6" t="s">
        <v>77</v>
      </c>
      <c r="Q65" s="8" t="s">
        <v>124</v>
      </c>
      <c r="R65" s="10" t="s">
        <v>268</v>
      </c>
      <c r="S65" s="11" t="s">
        <v>482</v>
      </c>
      <c r="T65" s="6" t="s">
        <v>46</v>
      </c>
      <c r="U65" s="27" t="str">
        <f>HYPERLINK("https://media.infra-m.ru/2100/2100972/cover/2100972.jpg", "Обложка")</f>
        <v>Обложка</v>
      </c>
      <c r="V65" s="27" t="str">
        <f>HYPERLINK("https://znanium.com/catalog/product/2100972", "Ознакомиться")</f>
        <v>Ознакомиться</v>
      </c>
      <c r="W65" s="8" t="s">
        <v>483</v>
      </c>
      <c r="X65" s="6"/>
      <c r="Y65" s="6"/>
      <c r="Z65" s="6"/>
      <c r="AA65" s="6" t="s">
        <v>136</v>
      </c>
    </row>
    <row r="66" spans="1:27" s="4" customFormat="1" ht="51.95" customHeight="1">
      <c r="A66" s="5">
        <v>0</v>
      </c>
      <c r="B66" s="6" t="s">
        <v>484</v>
      </c>
      <c r="C66" s="13">
        <v>670</v>
      </c>
      <c r="D66" s="8" t="s">
        <v>485</v>
      </c>
      <c r="E66" s="8" t="s">
        <v>486</v>
      </c>
      <c r="F66" s="8" t="s">
        <v>487</v>
      </c>
      <c r="G66" s="6" t="s">
        <v>488</v>
      </c>
      <c r="H66" s="6" t="s">
        <v>38</v>
      </c>
      <c r="I66" s="8"/>
      <c r="J66" s="9">
        <v>1</v>
      </c>
      <c r="K66" s="9">
        <v>228</v>
      </c>
      <c r="L66" s="9">
        <v>2017</v>
      </c>
      <c r="M66" s="8" t="s">
        <v>489</v>
      </c>
      <c r="N66" s="8" t="s">
        <v>41</v>
      </c>
      <c r="O66" s="8" t="s">
        <v>42</v>
      </c>
      <c r="P66" s="6" t="s">
        <v>43</v>
      </c>
      <c r="Q66" s="8" t="s">
        <v>124</v>
      </c>
      <c r="R66" s="10" t="s">
        <v>490</v>
      </c>
      <c r="S66" s="11"/>
      <c r="T66" s="6"/>
      <c r="U66" s="27" t="str">
        <f>HYPERLINK("https://media.infra-m.ru/0792/0792747/cover/792747.jpg", "Обложка")</f>
        <v>Обложка</v>
      </c>
      <c r="V66" s="27" t="str">
        <f>HYPERLINK("https://znanium.com/catalog/product/792747", "Ознакомиться")</f>
        <v>Ознакомиться</v>
      </c>
      <c r="W66" s="8" t="s">
        <v>154</v>
      </c>
      <c r="X66" s="6"/>
      <c r="Y66" s="6"/>
      <c r="Z66" s="6"/>
      <c r="AA66" s="6" t="s">
        <v>48</v>
      </c>
    </row>
    <row r="67" spans="1:27" s="4" customFormat="1" ht="42" customHeight="1">
      <c r="A67" s="5">
        <v>0</v>
      </c>
      <c r="B67" s="6" t="s">
        <v>491</v>
      </c>
      <c r="C67" s="13">
        <v>664</v>
      </c>
      <c r="D67" s="8" t="s">
        <v>492</v>
      </c>
      <c r="E67" s="8" t="s">
        <v>493</v>
      </c>
      <c r="F67" s="8" t="s">
        <v>494</v>
      </c>
      <c r="G67" s="6" t="s">
        <v>53</v>
      </c>
      <c r="H67" s="6" t="s">
        <v>87</v>
      </c>
      <c r="I67" s="8"/>
      <c r="J67" s="9">
        <v>1</v>
      </c>
      <c r="K67" s="9">
        <v>144</v>
      </c>
      <c r="L67" s="9">
        <v>2024</v>
      </c>
      <c r="M67" s="8" t="s">
        <v>495</v>
      </c>
      <c r="N67" s="8" t="s">
        <v>56</v>
      </c>
      <c r="O67" s="8" t="s">
        <v>57</v>
      </c>
      <c r="P67" s="6" t="s">
        <v>58</v>
      </c>
      <c r="Q67" s="8" t="s">
        <v>44</v>
      </c>
      <c r="R67" s="10" t="s">
        <v>496</v>
      </c>
      <c r="S67" s="11"/>
      <c r="T67" s="6"/>
      <c r="U67" s="27" t="str">
        <f>HYPERLINK("https://media.infra-m.ru/2100/2100974/cover/2100974.jpg", "Обложка")</f>
        <v>Обложка</v>
      </c>
      <c r="V67" s="12"/>
      <c r="W67" s="8" t="s">
        <v>116</v>
      </c>
      <c r="X67" s="6"/>
      <c r="Y67" s="6"/>
      <c r="Z67" s="6"/>
      <c r="AA67" s="6" t="s">
        <v>250</v>
      </c>
    </row>
    <row r="68" spans="1:27" s="4" customFormat="1" ht="44.1" customHeight="1">
      <c r="A68" s="5">
        <v>0</v>
      </c>
      <c r="B68" s="6" t="s">
        <v>497</v>
      </c>
      <c r="C68" s="13">
        <v>304</v>
      </c>
      <c r="D68" s="8" t="s">
        <v>498</v>
      </c>
      <c r="E68" s="8" t="s">
        <v>499</v>
      </c>
      <c r="F68" s="8" t="s">
        <v>500</v>
      </c>
      <c r="G68" s="6" t="s">
        <v>53</v>
      </c>
      <c r="H68" s="6" t="s">
        <v>87</v>
      </c>
      <c r="I68" s="8"/>
      <c r="J68" s="9">
        <v>1</v>
      </c>
      <c r="K68" s="9">
        <v>64</v>
      </c>
      <c r="L68" s="9">
        <v>2024</v>
      </c>
      <c r="M68" s="8" t="s">
        <v>501</v>
      </c>
      <c r="N68" s="8" t="s">
        <v>56</v>
      </c>
      <c r="O68" s="8" t="s">
        <v>57</v>
      </c>
      <c r="P68" s="6" t="s">
        <v>58</v>
      </c>
      <c r="Q68" s="8" t="s">
        <v>44</v>
      </c>
      <c r="R68" s="10" t="s">
        <v>502</v>
      </c>
      <c r="S68" s="11"/>
      <c r="T68" s="6"/>
      <c r="U68" s="27" t="str">
        <f>HYPERLINK("https://media.infra-m.ru/2102/2102697/cover/2102697.jpg", "Обложка")</f>
        <v>Обложка</v>
      </c>
      <c r="V68" s="27" t="str">
        <f>HYPERLINK("https://znanium.com/catalog/product/537827", "Ознакомиться")</f>
        <v>Ознакомиться</v>
      </c>
      <c r="W68" s="8" t="s">
        <v>503</v>
      </c>
      <c r="X68" s="6"/>
      <c r="Y68" s="6"/>
      <c r="Z68" s="6"/>
      <c r="AA68" s="6" t="s">
        <v>394</v>
      </c>
    </row>
    <row r="69" spans="1:27" s="4" customFormat="1" ht="44.1" customHeight="1">
      <c r="A69" s="5">
        <v>0</v>
      </c>
      <c r="B69" s="6" t="s">
        <v>504</v>
      </c>
      <c r="C69" s="13">
        <v>980</v>
      </c>
      <c r="D69" s="8" t="s">
        <v>505</v>
      </c>
      <c r="E69" s="8" t="s">
        <v>506</v>
      </c>
      <c r="F69" s="8" t="s">
        <v>507</v>
      </c>
      <c r="G69" s="6" t="s">
        <v>53</v>
      </c>
      <c r="H69" s="6" t="s">
        <v>38</v>
      </c>
      <c r="I69" s="8" t="s">
        <v>54</v>
      </c>
      <c r="J69" s="9">
        <v>1</v>
      </c>
      <c r="K69" s="9">
        <v>218</v>
      </c>
      <c r="L69" s="9">
        <v>2023</v>
      </c>
      <c r="M69" s="8" t="s">
        <v>508</v>
      </c>
      <c r="N69" s="8" t="s">
        <v>56</v>
      </c>
      <c r="O69" s="8" t="s">
        <v>57</v>
      </c>
      <c r="P69" s="6" t="s">
        <v>58</v>
      </c>
      <c r="Q69" s="8" t="s">
        <v>44</v>
      </c>
      <c r="R69" s="10" t="s">
        <v>509</v>
      </c>
      <c r="S69" s="11"/>
      <c r="T69" s="6"/>
      <c r="U69" s="27" t="str">
        <f>HYPERLINK("https://media.infra-m.ru/1911/1911533/cover/1911533.jpg", "Обложка")</f>
        <v>Обложка</v>
      </c>
      <c r="V69" s="27" t="str">
        <f>HYPERLINK("https://znanium.com/catalog/product/1911533", "Ознакомиться")</f>
        <v>Ознакомиться</v>
      </c>
      <c r="W69" s="8" t="s">
        <v>81</v>
      </c>
      <c r="X69" s="6" t="s">
        <v>510</v>
      </c>
      <c r="Y69" s="6"/>
      <c r="Z69" s="6"/>
      <c r="AA69" s="6" t="s">
        <v>61</v>
      </c>
    </row>
    <row r="70" spans="1:27" s="4" customFormat="1" ht="42" customHeight="1">
      <c r="A70" s="5">
        <v>0</v>
      </c>
      <c r="B70" s="6" t="s">
        <v>511</v>
      </c>
      <c r="C70" s="13">
        <v>750</v>
      </c>
      <c r="D70" s="8" t="s">
        <v>512</v>
      </c>
      <c r="E70" s="8" t="s">
        <v>513</v>
      </c>
      <c r="F70" s="8" t="s">
        <v>514</v>
      </c>
      <c r="G70" s="6" t="s">
        <v>37</v>
      </c>
      <c r="H70" s="6" t="s">
        <v>38</v>
      </c>
      <c r="I70" s="8" t="s">
        <v>54</v>
      </c>
      <c r="J70" s="9">
        <v>1</v>
      </c>
      <c r="K70" s="9">
        <v>193</v>
      </c>
      <c r="L70" s="9">
        <v>2022</v>
      </c>
      <c r="M70" s="8" t="s">
        <v>515</v>
      </c>
      <c r="N70" s="8" t="s">
        <v>41</v>
      </c>
      <c r="O70" s="8" t="s">
        <v>42</v>
      </c>
      <c r="P70" s="6" t="s">
        <v>58</v>
      </c>
      <c r="Q70" s="8" t="s">
        <v>44</v>
      </c>
      <c r="R70" s="10" t="s">
        <v>516</v>
      </c>
      <c r="S70" s="11"/>
      <c r="T70" s="6"/>
      <c r="U70" s="27" t="str">
        <f>HYPERLINK("https://media.infra-m.ru/1854/1854751/cover/1854751.jpg", "Обложка")</f>
        <v>Обложка</v>
      </c>
      <c r="V70" s="27" t="str">
        <f>HYPERLINK("https://znanium.com/catalog/product/1854751", "Ознакомиться")</f>
        <v>Ознакомиться</v>
      </c>
      <c r="W70" s="8" t="s">
        <v>154</v>
      </c>
      <c r="X70" s="6"/>
      <c r="Y70" s="6"/>
      <c r="Z70" s="6"/>
      <c r="AA70" s="6" t="s">
        <v>109</v>
      </c>
    </row>
    <row r="71" spans="1:27" s="4" customFormat="1" ht="51.95" customHeight="1">
      <c r="A71" s="5">
        <v>0</v>
      </c>
      <c r="B71" s="6" t="s">
        <v>517</v>
      </c>
      <c r="C71" s="7">
        <v>1034</v>
      </c>
      <c r="D71" s="8" t="s">
        <v>518</v>
      </c>
      <c r="E71" s="8" t="s">
        <v>519</v>
      </c>
      <c r="F71" s="8" t="s">
        <v>520</v>
      </c>
      <c r="G71" s="6" t="s">
        <v>53</v>
      </c>
      <c r="H71" s="6" t="s">
        <v>87</v>
      </c>
      <c r="I71" s="8" t="s">
        <v>183</v>
      </c>
      <c r="J71" s="9">
        <v>1</v>
      </c>
      <c r="K71" s="9">
        <v>224</v>
      </c>
      <c r="L71" s="9">
        <v>2023</v>
      </c>
      <c r="M71" s="8" t="s">
        <v>521</v>
      </c>
      <c r="N71" s="8" t="s">
        <v>41</v>
      </c>
      <c r="O71" s="8" t="s">
        <v>42</v>
      </c>
      <c r="P71" s="6" t="s">
        <v>185</v>
      </c>
      <c r="Q71" s="8" t="s">
        <v>89</v>
      </c>
      <c r="R71" s="10" t="s">
        <v>522</v>
      </c>
      <c r="S71" s="11" t="s">
        <v>523</v>
      </c>
      <c r="T71" s="6"/>
      <c r="U71" s="27" t="str">
        <f>HYPERLINK("https://media.infra-m.ru/1895/1895181/cover/1895181.jpg", "Обложка")</f>
        <v>Обложка</v>
      </c>
      <c r="V71" s="27" t="str">
        <f>HYPERLINK("https://znanium.com/catalog/product/1838393", "Ознакомиться")</f>
        <v>Ознакомиться</v>
      </c>
      <c r="W71" s="8" t="s">
        <v>116</v>
      </c>
      <c r="X71" s="6"/>
      <c r="Y71" s="6"/>
      <c r="Z71" s="6"/>
      <c r="AA71" s="6" t="s">
        <v>208</v>
      </c>
    </row>
    <row r="72" spans="1:27" s="4" customFormat="1" ht="51.95" customHeight="1">
      <c r="A72" s="5">
        <v>0</v>
      </c>
      <c r="B72" s="6" t="s">
        <v>524</v>
      </c>
      <c r="C72" s="13">
        <v>990</v>
      </c>
      <c r="D72" s="8" t="s">
        <v>525</v>
      </c>
      <c r="E72" s="8" t="s">
        <v>519</v>
      </c>
      <c r="F72" s="8" t="s">
        <v>520</v>
      </c>
      <c r="G72" s="6" t="s">
        <v>37</v>
      </c>
      <c r="H72" s="6" t="s">
        <v>87</v>
      </c>
      <c r="I72" s="8" t="s">
        <v>75</v>
      </c>
      <c r="J72" s="9">
        <v>1</v>
      </c>
      <c r="K72" s="9">
        <v>224</v>
      </c>
      <c r="L72" s="9">
        <v>2023</v>
      </c>
      <c r="M72" s="8" t="s">
        <v>526</v>
      </c>
      <c r="N72" s="8" t="s">
        <v>41</v>
      </c>
      <c r="O72" s="8" t="s">
        <v>42</v>
      </c>
      <c r="P72" s="6" t="s">
        <v>185</v>
      </c>
      <c r="Q72" s="8" t="s">
        <v>78</v>
      </c>
      <c r="R72" s="10" t="s">
        <v>527</v>
      </c>
      <c r="S72" s="11" t="s">
        <v>528</v>
      </c>
      <c r="T72" s="6"/>
      <c r="U72" s="27" t="str">
        <f>HYPERLINK("https://media.infra-m.ru/1865/1865715/cover/1865715.jpg", "Обложка")</f>
        <v>Обложка</v>
      </c>
      <c r="V72" s="27" t="str">
        <f>HYPERLINK("https://znanium.com/catalog/product/1865715", "Ознакомиться")</f>
        <v>Ознакомиться</v>
      </c>
      <c r="W72" s="8" t="s">
        <v>116</v>
      </c>
      <c r="X72" s="6"/>
      <c r="Y72" s="6"/>
      <c r="Z72" s="6" t="s">
        <v>82</v>
      </c>
      <c r="AA72" s="6" t="s">
        <v>70</v>
      </c>
    </row>
    <row r="73" spans="1:27" s="4" customFormat="1" ht="51.95" customHeight="1">
      <c r="A73" s="5">
        <v>0</v>
      </c>
      <c r="B73" s="6" t="s">
        <v>529</v>
      </c>
      <c r="C73" s="13">
        <v>704</v>
      </c>
      <c r="D73" s="8" t="s">
        <v>530</v>
      </c>
      <c r="E73" s="8" t="s">
        <v>531</v>
      </c>
      <c r="F73" s="8" t="s">
        <v>532</v>
      </c>
      <c r="G73" s="6" t="s">
        <v>53</v>
      </c>
      <c r="H73" s="6" t="s">
        <v>38</v>
      </c>
      <c r="I73" s="8" t="s">
        <v>173</v>
      </c>
      <c r="J73" s="9">
        <v>1</v>
      </c>
      <c r="K73" s="9">
        <v>154</v>
      </c>
      <c r="L73" s="9">
        <v>2023</v>
      </c>
      <c r="M73" s="8" t="s">
        <v>533</v>
      </c>
      <c r="N73" s="8" t="s">
        <v>56</v>
      </c>
      <c r="O73" s="8" t="s">
        <v>57</v>
      </c>
      <c r="P73" s="6" t="s">
        <v>77</v>
      </c>
      <c r="Q73" s="8" t="s">
        <v>89</v>
      </c>
      <c r="R73" s="10" t="s">
        <v>347</v>
      </c>
      <c r="S73" s="11" t="s">
        <v>534</v>
      </c>
      <c r="T73" s="6"/>
      <c r="U73" s="27" t="str">
        <f>HYPERLINK("https://media.infra-m.ru/2001/2001684/cover/2001684.jpg", "Обложка")</f>
        <v>Обложка</v>
      </c>
      <c r="V73" s="27" t="str">
        <f>HYPERLINK("https://znanium.com/catalog/product/1895651", "Ознакомиться")</f>
        <v>Ознакомиться</v>
      </c>
      <c r="W73" s="8" t="s">
        <v>535</v>
      </c>
      <c r="X73" s="6"/>
      <c r="Y73" s="6"/>
      <c r="Z73" s="6"/>
      <c r="AA73" s="6" t="s">
        <v>117</v>
      </c>
    </row>
    <row r="74" spans="1:27" s="4" customFormat="1" ht="51.95" customHeight="1">
      <c r="A74" s="5">
        <v>0</v>
      </c>
      <c r="B74" s="6" t="s">
        <v>536</v>
      </c>
      <c r="C74" s="7">
        <v>1474</v>
      </c>
      <c r="D74" s="8" t="s">
        <v>537</v>
      </c>
      <c r="E74" s="8" t="s">
        <v>538</v>
      </c>
      <c r="F74" s="8" t="s">
        <v>539</v>
      </c>
      <c r="G74" s="6" t="s">
        <v>53</v>
      </c>
      <c r="H74" s="6" t="s">
        <v>87</v>
      </c>
      <c r="I74" s="8" t="s">
        <v>39</v>
      </c>
      <c r="J74" s="9">
        <v>1</v>
      </c>
      <c r="K74" s="9">
        <v>319</v>
      </c>
      <c r="L74" s="9">
        <v>2023</v>
      </c>
      <c r="M74" s="8" t="s">
        <v>540</v>
      </c>
      <c r="N74" s="8" t="s">
        <v>56</v>
      </c>
      <c r="O74" s="8" t="s">
        <v>57</v>
      </c>
      <c r="P74" s="6" t="s">
        <v>541</v>
      </c>
      <c r="Q74" s="8" t="s">
        <v>44</v>
      </c>
      <c r="R74" s="10" t="s">
        <v>542</v>
      </c>
      <c r="S74" s="11"/>
      <c r="T74" s="6"/>
      <c r="U74" s="27" t="str">
        <f>HYPERLINK("https://media.infra-m.ru/2112/2112454/cover/2112454.jpg", "Обложка")</f>
        <v>Обложка</v>
      </c>
      <c r="V74" s="27" t="str">
        <f>HYPERLINK("https://znanium.com/catalog/product/2110937", "Ознакомиться")</f>
        <v>Ознакомиться</v>
      </c>
      <c r="W74" s="8" t="s">
        <v>278</v>
      </c>
      <c r="X74" s="6"/>
      <c r="Y74" s="6"/>
      <c r="Z74" s="6"/>
      <c r="AA74" s="6" t="s">
        <v>543</v>
      </c>
    </row>
    <row r="75" spans="1:27" s="4" customFormat="1" ht="51.95" customHeight="1">
      <c r="A75" s="5">
        <v>0</v>
      </c>
      <c r="B75" s="6" t="s">
        <v>544</v>
      </c>
      <c r="C75" s="13">
        <v>764.9</v>
      </c>
      <c r="D75" s="8" t="s">
        <v>545</v>
      </c>
      <c r="E75" s="8" t="s">
        <v>546</v>
      </c>
      <c r="F75" s="8" t="s">
        <v>547</v>
      </c>
      <c r="G75" s="6" t="s">
        <v>165</v>
      </c>
      <c r="H75" s="6" t="s">
        <v>87</v>
      </c>
      <c r="I75" s="8"/>
      <c r="J75" s="9">
        <v>1</v>
      </c>
      <c r="K75" s="9">
        <v>240</v>
      </c>
      <c r="L75" s="9">
        <v>2017</v>
      </c>
      <c r="M75" s="8" t="s">
        <v>548</v>
      </c>
      <c r="N75" s="8" t="s">
        <v>56</v>
      </c>
      <c r="O75" s="8" t="s">
        <v>57</v>
      </c>
      <c r="P75" s="6" t="s">
        <v>541</v>
      </c>
      <c r="Q75" s="8" t="s">
        <v>44</v>
      </c>
      <c r="R75" s="10" t="s">
        <v>542</v>
      </c>
      <c r="S75" s="11" t="s">
        <v>549</v>
      </c>
      <c r="T75" s="6"/>
      <c r="U75" s="27" t="str">
        <f>HYPERLINK("https://media.infra-m.ru/0536/0536823/cover/536823.jpg", "Обложка")</f>
        <v>Обложка</v>
      </c>
      <c r="V75" s="27" t="str">
        <f>HYPERLINK("https://znanium.com/catalog/product/2110937", "Ознакомиться")</f>
        <v>Ознакомиться</v>
      </c>
      <c r="W75" s="8" t="s">
        <v>278</v>
      </c>
      <c r="X75" s="6"/>
      <c r="Y75" s="6"/>
      <c r="Z75" s="6"/>
      <c r="AA75" s="6" t="s">
        <v>550</v>
      </c>
    </row>
    <row r="76" spans="1:27" s="4" customFormat="1" ht="42" customHeight="1">
      <c r="A76" s="5">
        <v>0</v>
      </c>
      <c r="B76" s="6" t="s">
        <v>551</v>
      </c>
      <c r="C76" s="13">
        <v>780</v>
      </c>
      <c r="D76" s="8" t="s">
        <v>552</v>
      </c>
      <c r="E76" s="8" t="s">
        <v>553</v>
      </c>
      <c r="F76" s="8" t="s">
        <v>554</v>
      </c>
      <c r="G76" s="6" t="s">
        <v>53</v>
      </c>
      <c r="H76" s="6" t="s">
        <v>87</v>
      </c>
      <c r="I76" s="8" t="s">
        <v>54</v>
      </c>
      <c r="J76" s="9">
        <v>1</v>
      </c>
      <c r="K76" s="9">
        <v>136</v>
      </c>
      <c r="L76" s="9">
        <v>2023</v>
      </c>
      <c r="M76" s="8" t="s">
        <v>555</v>
      </c>
      <c r="N76" s="8" t="s">
        <v>41</v>
      </c>
      <c r="O76" s="8" t="s">
        <v>42</v>
      </c>
      <c r="P76" s="6" t="s">
        <v>58</v>
      </c>
      <c r="Q76" s="8"/>
      <c r="R76" s="10" t="s">
        <v>68</v>
      </c>
      <c r="S76" s="11"/>
      <c r="T76" s="6"/>
      <c r="U76" s="27" t="str">
        <f>HYPERLINK("https://media.infra-m.ru/1915/1915663/cover/1915663.jpg", "Обложка")</f>
        <v>Обложка</v>
      </c>
      <c r="V76" s="27" t="str">
        <f>HYPERLINK("https://znanium.com/catalog/product/1915663", "Ознакомиться")</f>
        <v>Ознакомиться</v>
      </c>
      <c r="W76" s="8" t="s">
        <v>278</v>
      </c>
      <c r="X76" s="6"/>
      <c r="Y76" s="6"/>
      <c r="Z76" s="6"/>
      <c r="AA76" s="6" t="s">
        <v>556</v>
      </c>
    </row>
    <row r="77" spans="1:27" s="4" customFormat="1" ht="42" customHeight="1">
      <c r="A77" s="5">
        <v>0</v>
      </c>
      <c r="B77" s="6" t="s">
        <v>557</v>
      </c>
      <c r="C77" s="13">
        <v>680</v>
      </c>
      <c r="D77" s="8" t="s">
        <v>558</v>
      </c>
      <c r="E77" s="8" t="s">
        <v>559</v>
      </c>
      <c r="F77" s="8" t="s">
        <v>560</v>
      </c>
      <c r="G77" s="6" t="s">
        <v>37</v>
      </c>
      <c r="H77" s="6" t="s">
        <v>38</v>
      </c>
      <c r="I77" s="8" t="s">
        <v>39</v>
      </c>
      <c r="J77" s="9">
        <v>1</v>
      </c>
      <c r="K77" s="9">
        <v>148</v>
      </c>
      <c r="L77" s="9">
        <v>2024</v>
      </c>
      <c r="M77" s="8" t="s">
        <v>561</v>
      </c>
      <c r="N77" s="8" t="s">
        <v>41</v>
      </c>
      <c r="O77" s="8" t="s">
        <v>42</v>
      </c>
      <c r="P77" s="6" t="s">
        <v>185</v>
      </c>
      <c r="Q77" s="8" t="s">
        <v>44</v>
      </c>
      <c r="R77" s="10" t="s">
        <v>295</v>
      </c>
      <c r="S77" s="11"/>
      <c r="T77" s="6"/>
      <c r="U77" s="27" t="str">
        <f>HYPERLINK("https://media.infra-m.ru/2112/2112511/cover/2112511.jpg", "Обложка")</f>
        <v>Обложка</v>
      </c>
      <c r="V77" s="27" t="str">
        <f>HYPERLINK("https://znanium.com/catalog/product/1922301", "Ознакомиться")</f>
        <v>Ознакомиться</v>
      </c>
      <c r="W77" s="8" t="s">
        <v>562</v>
      </c>
      <c r="X77" s="6"/>
      <c r="Y77" s="6"/>
      <c r="Z77" s="6"/>
      <c r="AA77" s="6" t="s">
        <v>70</v>
      </c>
    </row>
    <row r="78" spans="1:27" s="4" customFormat="1" ht="51.95" customHeight="1">
      <c r="A78" s="5">
        <v>0</v>
      </c>
      <c r="B78" s="6" t="s">
        <v>563</v>
      </c>
      <c r="C78" s="13">
        <v>390</v>
      </c>
      <c r="D78" s="8" t="s">
        <v>564</v>
      </c>
      <c r="E78" s="8" t="s">
        <v>565</v>
      </c>
      <c r="F78" s="8" t="s">
        <v>566</v>
      </c>
      <c r="G78" s="6" t="s">
        <v>53</v>
      </c>
      <c r="H78" s="6" t="s">
        <v>38</v>
      </c>
      <c r="I78" s="8" t="s">
        <v>183</v>
      </c>
      <c r="J78" s="9">
        <v>1</v>
      </c>
      <c r="K78" s="9">
        <v>83</v>
      </c>
      <c r="L78" s="9">
        <v>2024</v>
      </c>
      <c r="M78" s="8" t="s">
        <v>567</v>
      </c>
      <c r="N78" s="8" t="s">
        <v>41</v>
      </c>
      <c r="O78" s="8" t="s">
        <v>42</v>
      </c>
      <c r="P78" s="6" t="s">
        <v>77</v>
      </c>
      <c r="Q78" s="8" t="s">
        <v>89</v>
      </c>
      <c r="R78" s="10" t="s">
        <v>414</v>
      </c>
      <c r="S78" s="11" t="s">
        <v>568</v>
      </c>
      <c r="T78" s="6" t="s">
        <v>46</v>
      </c>
      <c r="U78" s="27" t="str">
        <f>HYPERLINK("https://media.infra-m.ru/1929/1929153/cover/1929153.jpg", "Обложка")</f>
        <v>Обложка</v>
      </c>
      <c r="V78" s="27" t="str">
        <f>HYPERLINK("https://znanium.com/catalog/product/1929153", "Ознакомиться")</f>
        <v>Ознакомиться</v>
      </c>
      <c r="W78" s="8" t="s">
        <v>116</v>
      </c>
      <c r="X78" s="6"/>
      <c r="Y78" s="6"/>
      <c r="Z78" s="6"/>
      <c r="AA78" s="6" t="s">
        <v>70</v>
      </c>
    </row>
    <row r="79" spans="1:27" s="4" customFormat="1" ht="51.95" customHeight="1">
      <c r="A79" s="5">
        <v>0</v>
      </c>
      <c r="B79" s="6" t="s">
        <v>569</v>
      </c>
      <c r="C79" s="13">
        <v>390</v>
      </c>
      <c r="D79" s="8" t="s">
        <v>570</v>
      </c>
      <c r="E79" s="8" t="s">
        <v>565</v>
      </c>
      <c r="F79" s="8" t="s">
        <v>566</v>
      </c>
      <c r="G79" s="6" t="s">
        <v>53</v>
      </c>
      <c r="H79" s="6" t="s">
        <v>38</v>
      </c>
      <c r="I79" s="8" t="s">
        <v>75</v>
      </c>
      <c r="J79" s="9">
        <v>1</v>
      </c>
      <c r="K79" s="9">
        <v>83</v>
      </c>
      <c r="L79" s="9">
        <v>2024</v>
      </c>
      <c r="M79" s="8" t="s">
        <v>571</v>
      </c>
      <c r="N79" s="8" t="s">
        <v>41</v>
      </c>
      <c r="O79" s="8" t="s">
        <v>42</v>
      </c>
      <c r="P79" s="6" t="s">
        <v>77</v>
      </c>
      <c r="Q79" s="8" t="s">
        <v>78</v>
      </c>
      <c r="R79" s="10" t="s">
        <v>572</v>
      </c>
      <c r="S79" s="11" t="s">
        <v>573</v>
      </c>
      <c r="T79" s="6" t="s">
        <v>46</v>
      </c>
      <c r="U79" s="27" t="str">
        <f>HYPERLINK("https://media.infra-m.ru/2107/2107387/cover/2107387.jpg", "Обложка")</f>
        <v>Обложка</v>
      </c>
      <c r="V79" s="27" t="str">
        <f>HYPERLINK("https://znanium.com/catalog/product/2107387", "Ознакомиться")</f>
        <v>Ознакомиться</v>
      </c>
      <c r="W79" s="8" t="s">
        <v>116</v>
      </c>
      <c r="X79" s="6"/>
      <c r="Y79" s="6"/>
      <c r="Z79" s="6" t="s">
        <v>82</v>
      </c>
      <c r="AA79" s="6" t="s">
        <v>128</v>
      </c>
    </row>
    <row r="80" spans="1:27" s="4" customFormat="1" ht="51.95" customHeight="1">
      <c r="A80" s="5">
        <v>0</v>
      </c>
      <c r="B80" s="6" t="s">
        <v>574</v>
      </c>
      <c r="C80" s="13">
        <v>720</v>
      </c>
      <c r="D80" s="8" t="s">
        <v>575</v>
      </c>
      <c r="E80" s="8" t="s">
        <v>576</v>
      </c>
      <c r="F80" s="8" t="s">
        <v>577</v>
      </c>
      <c r="G80" s="6" t="s">
        <v>37</v>
      </c>
      <c r="H80" s="6" t="s">
        <v>38</v>
      </c>
      <c r="I80" s="8" t="s">
        <v>75</v>
      </c>
      <c r="J80" s="9">
        <v>1</v>
      </c>
      <c r="K80" s="9">
        <v>160</v>
      </c>
      <c r="L80" s="9">
        <v>2023</v>
      </c>
      <c r="M80" s="8" t="s">
        <v>578</v>
      </c>
      <c r="N80" s="8" t="s">
        <v>41</v>
      </c>
      <c r="O80" s="8" t="s">
        <v>42</v>
      </c>
      <c r="P80" s="6" t="s">
        <v>185</v>
      </c>
      <c r="Q80" s="8" t="s">
        <v>78</v>
      </c>
      <c r="R80" s="10" t="s">
        <v>276</v>
      </c>
      <c r="S80" s="11" t="s">
        <v>277</v>
      </c>
      <c r="T80" s="6"/>
      <c r="U80" s="27" t="str">
        <f>HYPERLINK("https://media.infra-m.ru/2011/2011493/cover/2011493.jpg", "Обложка")</f>
        <v>Обложка</v>
      </c>
      <c r="V80" s="27" t="str">
        <f>HYPERLINK("https://znanium.com/catalog/product/2011493", "Ознакомиться")</f>
        <v>Ознакомиться</v>
      </c>
      <c r="W80" s="8" t="s">
        <v>116</v>
      </c>
      <c r="X80" s="6"/>
      <c r="Y80" s="6"/>
      <c r="Z80" s="6" t="s">
        <v>579</v>
      </c>
      <c r="AA80" s="6" t="s">
        <v>580</v>
      </c>
    </row>
    <row r="81" spans="1:27" s="4" customFormat="1" ht="51.95" customHeight="1">
      <c r="A81" s="5">
        <v>0</v>
      </c>
      <c r="B81" s="6" t="s">
        <v>581</v>
      </c>
      <c r="C81" s="13">
        <v>720</v>
      </c>
      <c r="D81" s="8" t="s">
        <v>582</v>
      </c>
      <c r="E81" s="8" t="s">
        <v>576</v>
      </c>
      <c r="F81" s="8" t="s">
        <v>577</v>
      </c>
      <c r="G81" s="6" t="s">
        <v>37</v>
      </c>
      <c r="H81" s="6" t="s">
        <v>38</v>
      </c>
      <c r="I81" s="8" t="s">
        <v>39</v>
      </c>
      <c r="J81" s="9">
        <v>1</v>
      </c>
      <c r="K81" s="9">
        <v>160</v>
      </c>
      <c r="L81" s="9">
        <v>2023</v>
      </c>
      <c r="M81" s="8" t="s">
        <v>583</v>
      </c>
      <c r="N81" s="8" t="s">
        <v>41</v>
      </c>
      <c r="O81" s="8" t="s">
        <v>42</v>
      </c>
      <c r="P81" s="6" t="s">
        <v>584</v>
      </c>
      <c r="Q81" s="8" t="s">
        <v>316</v>
      </c>
      <c r="R81" s="10" t="s">
        <v>522</v>
      </c>
      <c r="S81" s="11"/>
      <c r="T81" s="6"/>
      <c r="U81" s="27" t="str">
        <f>HYPERLINK("https://media.infra-m.ru/1972/1972694/cover/1972694.jpg", "Обложка")</f>
        <v>Обложка</v>
      </c>
      <c r="V81" s="27" t="str">
        <f>HYPERLINK("https://znanium.com/catalog/product/1972694", "Ознакомиться")</f>
        <v>Ознакомиться</v>
      </c>
      <c r="W81" s="8" t="s">
        <v>116</v>
      </c>
      <c r="X81" s="6"/>
      <c r="Y81" s="6"/>
      <c r="Z81" s="6"/>
      <c r="AA81" s="6" t="s">
        <v>585</v>
      </c>
    </row>
    <row r="82" spans="1:27" s="4" customFormat="1" ht="51.95" customHeight="1">
      <c r="A82" s="5">
        <v>0</v>
      </c>
      <c r="B82" s="6" t="s">
        <v>586</v>
      </c>
      <c r="C82" s="13">
        <v>684</v>
      </c>
      <c r="D82" s="8" t="s">
        <v>587</v>
      </c>
      <c r="E82" s="8" t="s">
        <v>588</v>
      </c>
      <c r="F82" s="8" t="s">
        <v>589</v>
      </c>
      <c r="G82" s="6" t="s">
        <v>53</v>
      </c>
      <c r="H82" s="6" t="s">
        <v>38</v>
      </c>
      <c r="I82" s="8" t="s">
        <v>75</v>
      </c>
      <c r="J82" s="9">
        <v>1</v>
      </c>
      <c r="K82" s="9">
        <v>148</v>
      </c>
      <c r="L82" s="9">
        <v>2024</v>
      </c>
      <c r="M82" s="8" t="s">
        <v>590</v>
      </c>
      <c r="N82" s="8" t="s">
        <v>41</v>
      </c>
      <c r="O82" s="8" t="s">
        <v>42</v>
      </c>
      <c r="P82" s="6" t="s">
        <v>584</v>
      </c>
      <c r="Q82" s="8" t="s">
        <v>78</v>
      </c>
      <c r="R82" s="10" t="s">
        <v>572</v>
      </c>
      <c r="S82" s="11" t="s">
        <v>591</v>
      </c>
      <c r="T82" s="6"/>
      <c r="U82" s="27" t="str">
        <f>HYPERLINK("https://media.infra-m.ru/2105/2105782/cover/2105782.jpg", "Обложка")</f>
        <v>Обложка</v>
      </c>
      <c r="V82" s="27" t="str">
        <f>HYPERLINK("https://znanium.com/catalog/product/1894198", "Ознакомиться")</f>
        <v>Ознакомиться</v>
      </c>
      <c r="W82" s="8" t="s">
        <v>562</v>
      </c>
      <c r="X82" s="6"/>
      <c r="Y82" s="6"/>
      <c r="Z82" s="6" t="s">
        <v>82</v>
      </c>
      <c r="AA82" s="6" t="s">
        <v>408</v>
      </c>
    </row>
    <row r="83" spans="1:27" s="4" customFormat="1" ht="51.95" customHeight="1">
      <c r="A83" s="5">
        <v>0</v>
      </c>
      <c r="B83" s="6" t="s">
        <v>592</v>
      </c>
      <c r="C83" s="13">
        <v>380</v>
      </c>
      <c r="D83" s="8" t="s">
        <v>593</v>
      </c>
      <c r="E83" s="8" t="s">
        <v>594</v>
      </c>
      <c r="F83" s="8" t="s">
        <v>589</v>
      </c>
      <c r="G83" s="6" t="s">
        <v>53</v>
      </c>
      <c r="H83" s="6" t="s">
        <v>38</v>
      </c>
      <c r="I83" s="8" t="s">
        <v>75</v>
      </c>
      <c r="J83" s="9">
        <v>1</v>
      </c>
      <c r="K83" s="9">
        <v>109</v>
      </c>
      <c r="L83" s="9">
        <v>2020</v>
      </c>
      <c r="M83" s="8" t="s">
        <v>595</v>
      </c>
      <c r="N83" s="8" t="s">
        <v>41</v>
      </c>
      <c r="O83" s="8" t="s">
        <v>42</v>
      </c>
      <c r="P83" s="6" t="s">
        <v>584</v>
      </c>
      <c r="Q83" s="8" t="s">
        <v>78</v>
      </c>
      <c r="R83" s="10" t="s">
        <v>572</v>
      </c>
      <c r="S83" s="11" t="s">
        <v>596</v>
      </c>
      <c r="T83" s="6"/>
      <c r="U83" s="27" t="str">
        <f>HYPERLINK("https://media.infra-m.ru/1052/1052202/cover/1052202.jpg", "Обложка")</f>
        <v>Обложка</v>
      </c>
      <c r="V83" s="27" t="str">
        <f>HYPERLINK("https://znanium.com/catalog/product/1894198", "Ознакомиться")</f>
        <v>Ознакомиться</v>
      </c>
      <c r="W83" s="8" t="s">
        <v>562</v>
      </c>
      <c r="X83" s="6"/>
      <c r="Y83" s="6"/>
      <c r="Z83" s="6" t="s">
        <v>82</v>
      </c>
      <c r="AA83" s="6" t="s">
        <v>83</v>
      </c>
    </row>
    <row r="84" spans="1:27" s="4" customFormat="1" ht="51.95" customHeight="1">
      <c r="A84" s="5">
        <v>0</v>
      </c>
      <c r="B84" s="6" t="s">
        <v>597</v>
      </c>
      <c r="C84" s="13">
        <v>330</v>
      </c>
      <c r="D84" s="8" t="s">
        <v>598</v>
      </c>
      <c r="E84" s="8" t="s">
        <v>594</v>
      </c>
      <c r="F84" s="8" t="s">
        <v>589</v>
      </c>
      <c r="G84" s="6" t="s">
        <v>53</v>
      </c>
      <c r="H84" s="6" t="s">
        <v>38</v>
      </c>
      <c r="I84" s="8" t="s">
        <v>39</v>
      </c>
      <c r="J84" s="9">
        <v>1</v>
      </c>
      <c r="K84" s="9">
        <v>109</v>
      </c>
      <c r="L84" s="9">
        <v>2019</v>
      </c>
      <c r="M84" s="8" t="s">
        <v>599</v>
      </c>
      <c r="N84" s="8" t="s">
        <v>41</v>
      </c>
      <c r="O84" s="8" t="s">
        <v>42</v>
      </c>
      <c r="P84" s="6" t="s">
        <v>584</v>
      </c>
      <c r="Q84" s="8" t="s">
        <v>89</v>
      </c>
      <c r="R84" s="10" t="s">
        <v>600</v>
      </c>
      <c r="S84" s="11"/>
      <c r="T84" s="6"/>
      <c r="U84" s="27" t="str">
        <f>HYPERLINK("https://media.infra-m.ru/1016/1016373/cover/1016373.jpg", "Обложка")</f>
        <v>Обложка</v>
      </c>
      <c r="V84" s="27" t="str">
        <f>HYPERLINK("https://znanium.com/catalog/product/2113857", "Ознакомиться")</f>
        <v>Ознакомиться</v>
      </c>
      <c r="W84" s="8" t="s">
        <v>562</v>
      </c>
      <c r="X84" s="6"/>
      <c r="Y84" s="6"/>
      <c r="Z84" s="6"/>
      <c r="AA84" s="6" t="s">
        <v>109</v>
      </c>
    </row>
    <row r="85" spans="1:27" s="4" customFormat="1" ht="51.95" customHeight="1">
      <c r="A85" s="5">
        <v>0</v>
      </c>
      <c r="B85" s="6" t="s">
        <v>601</v>
      </c>
      <c r="C85" s="13">
        <v>720</v>
      </c>
      <c r="D85" s="8" t="s">
        <v>602</v>
      </c>
      <c r="E85" s="8" t="s">
        <v>588</v>
      </c>
      <c r="F85" s="8" t="s">
        <v>589</v>
      </c>
      <c r="G85" s="6" t="s">
        <v>53</v>
      </c>
      <c r="H85" s="6" t="s">
        <v>38</v>
      </c>
      <c r="I85" s="8" t="s">
        <v>39</v>
      </c>
      <c r="J85" s="9">
        <v>1</v>
      </c>
      <c r="K85" s="9">
        <v>148</v>
      </c>
      <c r="L85" s="9">
        <v>2024</v>
      </c>
      <c r="M85" s="8" t="s">
        <v>603</v>
      </c>
      <c r="N85" s="8" t="s">
        <v>41</v>
      </c>
      <c r="O85" s="8" t="s">
        <v>42</v>
      </c>
      <c r="P85" s="6" t="s">
        <v>584</v>
      </c>
      <c r="Q85" s="8" t="s">
        <v>89</v>
      </c>
      <c r="R85" s="10" t="s">
        <v>600</v>
      </c>
      <c r="S85" s="11"/>
      <c r="T85" s="6"/>
      <c r="U85" s="27" t="str">
        <f>HYPERLINK("https://media.infra-m.ru/2113/2113857/cover/2113857.jpg", "Обложка")</f>
        <v>Обложка</v>
      </c>
      <c r="V85" s="27" t="str">
        <f>HYPERLINK("https://znanium.com/catalog/product/2113857", "Ознакомиться")</f>
        <v>Ознакомиться</v>
      </c>
      <c r="W85" s="8" t="s">
        <v>562</v>
      </c>
      <c r="X85" s="6"/>
      <c r="Y85" s="6"/>
      <c r="Z85" s="6"/>
      <c r="AA85" s="6" t="s">
        <v>408</v>
      </c>
    </row>
    <row r="86" spans="1:27" s="4" customFormat="1" ht="42" customHeight="1">
      <c r="A86" s="5">
        <v>0</v>
      </c>
      <c r="B86" s="6" t="s">
        <v>604</v>
      </c>
      <c r="C86" s="13">
        <v>680</v>
      </c>
      <c r="D86" s="8" t="s">
        <v>605</v>
      </c>
      <c r="E86" s="8" t="s">
        <v>606</v>
      </c>
      <c r="F86" s="8" t="s">
        <v>607</v>
      </c>
      <c r="G86" s="6" t="s">
        <v>53</v>
      </c>
      <c r="H86" s="6" t="s">
        <v>608</v>
      </c>
      <c r="I86" s="8" t="s">
        <v>609</v>
      </c>
      <c r="J86" s="9">
        <v>1</v>
      </c>
      <c r="K86" s="9">
        <v>148</v>
      </c>
      <c r="L86" s="9">
        <v>2024</v>
      </c>
      <c r="M86" s="8" t="s">
        <v>610</v>
      </c>
      <c r="N86" s="8" t="s">
        <v>56</v>
      </c>
      <c r="O86" s="8" t="s">
        <v>57</v>
      </c>
      <c r="P86" s="6" t="s">
        <v>77</v>
      </c>
      <c r="Q86" s="8" t="s">
        <v>89</v>
      </c>
      <c r="R86" s="10" t="s">
        <v>611</v>
      </c>
      <c r="S86" s="11"/>
      <c r="T86" s="6"/>
      <c r="U86" s="27" t="str">
        <f>HYPERLINK("https://media.infra-m.ru/2091/2091890/cover/2091890.jpg", "Обложка")</f>
        <v>Обложка</v>
      </c>
      <c r="V86" s="27" t="str">
        <f>HYPERLINK("https://znanium.com/catalog/product/2091890", "Ознакомиться")</f>
        <v>Ознакомиться</v>
      </c>
      <c r="W86" s="8" t="s">
        <v>612</v>
      </c>
      <c r="X86" s="6"/>
      <c r="Y86" s="6"/>
      <c r="Z86" s="6"/>
      <c r="AA86" s="6" t="s">
        <v>109</v>
      </c>
    </row>
    <row r="87" spans="1:27" s="4" customFormat="1" ht="51.95" customHeight="1">
      <c r="A87" s="5">
        <v>0</v>
      </c>
      <c r="B87" s="6" t="s">
        <v>613</v>
      </c>
      <c r="C87" s="13">
        <v>884.9</v>
      </c>
      <c r="D87" s="8" t="s">
        <v>614</v>
      </c>
      <c r="E87" s="8" t="s">
        <v>615</v>
      </c>
      <c r="F87" s="8" t="s">
        <v>616</v>
      </c>
      <c r="G87" s="6" t="s">
        <v>53</v>
      </c>
      <c r="H87" s="6" t="s">
        <v>38</v>
      </c>
      <c r="I87" s="8" t="s">
        <v>617</v>
      </c>
      <c r="J87" s="9">
        <v>1</v>
      </c>
      <c r="K87" s="9">
        <v>197</v>
      </c>
      <c r="L87" s="9">
        <v>2023</v>
      </c>
      <c r="M87" s="8" t="s">
        <v>618</v>
      </c>
      <c r="N87" s="8" t="s">
        <v>41</v>
      </c>
      <c r="O87" s="8" t="s">
        <v>42</v>
      </c>
      <c r="P87" s="6" t="s">
        <v>77</v>
      </c>
      <c r="Q87" s="8" t="s">
        <v>151</v>
      </c>
      <c r="R87" s="10" t="s">
        <v>619</v>
      </c>
      <c r="S87" s="11" t="s">
        <v>620</v>
      </c>
      <c r="T87" s="6"/>
      <c r="U87" s="27" t="str">
        <f>HYPERLINK("https://media.infra-m.ru/1911/1911923/cover/1911923.jpg", "Обложка")</f>
        <v>Обложка</v>
      </c>
      <c r="V87" s="27" t="str">
        <f>HYPERLINK("https://znanium.com/catalog/product/1081141", "Ознакомиться")</f>
        <v>Ознакомиться</v>
      </c>
      <c r="W87" s="8" t="s">
        <v>621</v>
      </c>
      <c r="X87" s="6"/>
      <c r="Y87" s="6"/>
      <c r="Z87" s="6"/>
      <c r="AA87" s="6" t="s">
        <v>622</v>
      </c>
    </row>
    <row r="88" spans="1:27" s="4" customFormat="1" ht="51.95" customHeight="1">
      <c r="A88" s="5">
        <v>0</v>
      </c>
      <c r="B88" s="6" t="s">
        <v>623</v>
      </c>
      <c r="C88" s="13">
        <v>414</v>
      </c>
      <c r="D88" s="8" t="s">
        <v>624</v>
      </c>
      <c r="E88" s="8" t="s">
        <v>625</v>
      </c>
      <c r="F88" s="8" t="s">
        <v>626</v>
      </c>
      <c r="G88" s="6" t="s">
        <v>53</v>
      </c>
      <c r="H88" s="6" t="s">
        <v>38</v>
      </c>
      <c r="I88" s="8" t="s">
        <v>183</v>
      </c>
      <c r="J88" s="9">
        <v>1</v>
      </c>
      <c r="K88" s="9">
        <v>88</v>
      </c>
      <c r="L88" s="9">
        <v>2024</v>
      </c>
      <c r="M88" s="8" t="s">
        <v>627</v>
      </c>
      <c r="N88" s="8" t="s">
        <v>41</v>
      </c>
      <c r="O88" s="8" t="s">
        <v>42</v>
      </c>
      <c r="P88" s="6" t="s">
        <v>43</v>
      </c>
      <c r="Q88" s="8" t="s">
        <v>89</v>
      </c>
      <c r="R88" s="10" t="s">
        <v>628</v>
      </c>
      <c r="S88" s="11" t="s">
        <v>629</v>
      </c>
      <c r="T88" s="6"/>
      <c r="U88" s="27" t="str">
        <f>HYPERLINK("https://media.infra-m.ru/2107/2107393/cover/2107393.jpg", "Обложка")</f>
        <v>Обложка</v>
      </c>
      <c r="V88" s="27" t="str">
        <f>HYPERLINK("https://znanium.com/catalog/product/1361801", "Ознакомиться")</f>
        <v>Ознакомиться</v>
      </c>
      <c r="W88" s="8" t="s">
        <v>630</v>
      </c>
      <c r="X88" s="6"/>
      <c r="Y88" s="6"/>
      <c r="Z88" s="6"/>
      <c r="AA88" s="6" t="s">
        <v>101</v>
      </c>
    </row>
    <row r="89" spans="1:27" s="4" customFormat="1" ht="51.95" customHeight="1">
      <c r="A89" s="5">
        <v>0</v>
      </c>
      <c r="B89" s="6" t="s">
        <v>631</v>
      </c>
      <c r="C89" s="13">
        <v>890</v>
      </c>
      <c r="D89" s="8" t="s">
        <v>632</v>
      </c>
      <c r="E89" s="8" t="s">
        <v>633</v>
      </c>
      <c r="F89" s="8" t="s">
        <v>634</v>
      </c>
      <c r="G89" s="6" t="s">
        <v>37</v>
      </c>
      <c r="H89" s="6" t="s">
        <v>38</v>
      </c>
      <c r="I89" s="8" t="s">
        <v>183</v>
      </c>
      <c r="J89" s="9">
        <v>1</v>
      </c>
      <c r="K89" s="9">
        <v>192</v>
      </c>
      <c r="L89" s="9">
        <v>2024</v>
      </c>
      <c r="M89" s="8" t="s">
        <v>635</v>
      </c>
      <c r="N89" s="8" t="s">
        <v>41</v>
      </c>
      <c r="O89" s="8" t="s">
        <v>42</v>
      </c>
      <c r="P89" s="6" t="s">
        <v>185</v>
      </c>
      <c r="Q89" s="8" t="s">
        <v>316</v>
      </c>
      <c r="R89" s="10" t="s">
        <v>636</v>
      </c>
      <c r="S89" s="11" t="s">
        <v>637</v>
      </c>
      <c r="T89" s="6"/>
      <c r="U89" s="27" t="str">
        <f>HYPERLINK("https://media.infra-m.ru/2082/2082825/cover/2082825.jpg", "Обложка")</f>
        <v>Обложка</v>
      </c>
      <c r="V89" s="27" t="str">
        <f>HYPERLINK("https://znanium.com/catalog/product/2082825", "Ознакомиться")</f>
        <v>Ознакомиться</v>
      </c>
      <c r="W89" s="8" t="s">
        <v>638</v>
      </c>
      <c r="X89" s="6"/>
      <c r="Y89" s="6"/>
      <c r="Z89" s="6"/>
      <c r="AA89" s="6" t="s">
        <v>128</v>
      </c>
    </row>
    <row r="90" spans="1:27" s="4" customFormat="1" ht="51.95" customHeight="1">
      <c r="A90" s="5">
        <v>0</v>
      </c>
      <c r="B90" s="6" t="s">
        <v>639</v>
      </c>
      <c r="C90" s="13">
        <v>920</v>
      </c>
      <c r="D90" s="8" t="s">
        <v>640</v>
      </c>
      <c r="E90" s="8" t="s">
        <v>633</v>
      </c>
      <c r="F90" s="8" t="s">
        <v>634</v>
      </c>
      <c r="G90" s="6" t="s">
        <v>37</v>
      </c>
      <c r="H90" s="6" t="s">
        <v>38</v>
      </c>
      <c r="I90" s="8" t="s">
        <v>75</v>
      </c>
      <c r="J90" s="9">
        <v>1</v>
      </c>
      <c r="K90" s="9">
        <v>192</v>
      </c>
      <c r="L90" s="9">
        <v>2024</v>
      </c>
      <c r="M90" s="8" t="s">
        <v>641</v>
      </c>
      <c r="N90" s="8" t="s">
        <v>41</v>
      </c>
      <c r="O90" s="8" t="s">
        <v>42</v>
      </c>
      <c r="P90" s="6" t="s">
        <v>185</v>
      </c>
      <c r="Q90" s="8" t="s">
        <v>78</v>
      </c>
      <c r="R90" s="10" t="s">
        <v>642</v>
      </c>
      <c r="S90" s="11" t="s">
        <v>643</v>
      </c>
      <c r="T90" s="6"/>
      <c r="U90" s="27" t="str">
        <f>HYPERLINK("https://media.infra-m.ru/2080/2080236/cover/2080236.jpg", "Обложка")</f>
        <v>Обложка</v>
      </c>
      <c r="V90" s="27" t="str">
        <f>HYPERLINK("https://znanium.com/catalog/product/2080236", "Ознакомиться")</f>
        <v>Ознакомиться</v>
      </c>
      <c r="W90" s="8" t="s">
        <v>638</v>
      </c>
      <c r="X90" s="6"/>
      <c r="Y90" s="6"/>
      <c r="Z90" s="6" t="s">
        <v>579</v>
      </c>
      <c r="AA90" s="6" t="s">
        <v>178</v>
      </c>
    </row>
    <row r="91" spans="1:27" s="4" customFormat="1" ht="51.95" customHeight="1">
      <c r="A91" s="5">
        <v>0</v>
      </c>
      <c r="B91" s="6" t="s">
        <v>644</v>
      </c>
      <c r="C91" s="13">
        <v>780</v>
      </c>
      <c r="D91" s="8" t="s">
        <v>645</v>
      </c>
      <c r="E91" s="8" t="s">
        <v>646</v>
      </c>
      <c r="F91" s="8" t="s">
        <v>647</v>
      </c>
      <c r="G91" s="6" t="s">
        <v>37</v>
      </c>
      <c r="H91" s="6" t="s">
        <v>38</v>
      </c>
      <c r="I91" s="8" t="s">
        <v>122</v>
      </c>
      <c r="J91" s="9">
        <v>1</v>
      </c>
      <c r="K91" s="9">
        <v>167</v>
      </c>
      <c r="L91" s="9">
        <v>2024</v>
      </c>
      <c r="M91" s="8" t="s">
        <v>648</v>
      </c>
      <c r="N91" s="8" t="s">
        <v>41</v>
      </c>
      <c r="O91" s="8" t="s">
        <v>42</v>
      </c>
      <c r="P91" s="6" t="s">
        <v>77</v>
      </c>
      <c r="Q91" s="8" t="s">
        <v>124</v>
      </c>
      <c r="R91" s="10" t="s">
        <v>649</v>
      </c>
      <c r="S91" s="11" t="s">
        <v>650</v>
      </c>
      <c r="T91" s="6"/>
      <c r="U91" s="27" t="str">
        <f>HYPERLINK("https://media.infra-m.ru/2081/2081767/cover/2081767.jpg", "Обложка")</f>
        <v>Обложка</v>
      </c>
      <c r="V91" s="27" t="str">
        <f>HYPERLINK("https://znanium.com/catalog/product/2081767", "Ознакомиться")</f>
        <v>Ознакомиться</v>
      </c>
      <c r="W91" s="8" t="s">
        <v>651</v>
      </c>
      <c r="X91" s="6"/>
      <c r="Y91" s="6"/>
      <c r="Z91" s="6"/>
      <c r="AA91" s="6" t="s">
        <v>48</v>
      </c>
    </row>
    <row r="92" spans="1:27" s="4" customFormat="1" ht="51.95" customHeight="1">
      <c r="A92" s="5">
        <v>0</v>
      </c>
      <c r="B92" s="6" t="s">
        <v>652</v>
      </c>
      <c r="C92" s="13">
        <v>500</v>
      </c>
      <c r="D92" s="8" t="s">
        <v>653</v>
      </c>
      <c r="E92" s="8" t="s">
        <v>654</v>
      </c>
      <c r="F92" s="8" t="s">
        <v>655</v>
      </c>
      <c r="G92" s="6" t="s">
        <v>53</v>
      </c>
      <c r="H92" s="6" t="s">
        <v>38</v>
      </c>
      <c r="I92" s="8" t="s">
        <v>54</v>
      </c>
      <c r="J92" s="9">
        <v>1</v>
      </c>
      <c r="K92" s="9">
        <v>134</v>
      </c>
      <c r="L92" s="9">
        <v>2021</v>
      </c>
      <c r="M92" s="8" t="s">
        <v>656</v>
      </c>
      <c r="N92" s="8" t="s">
        <v>41</v>
      </c>
      <c r="O92" s="8" t="s">
        <v>42</v>
      </c>
      <c r="P92" s="6" t="s">
        <v>58</v>
      </c>
      <c r="Q92" s="8" t="s">
        <v>44</v>
      </c>
      <c r="R92" s="10" t="s">
        <v>657</v>
      </c>
      <c r="S92" s="11"/>
      <c r="T92" s="6"/>
      <c r="U92" s="27" t="str">
        <f>HYPERLINK("https://media.infra-m.ru/1352/1352396/cover/1352396.jpg", "Обложка")</f>
        <v>Обложка</v>
      </c>
      <c r="V92" s="27" t="str">
        <f>HYPERLINK("https://znanium.com/catalog/product/1352396", "Ознакомиться")</f>
        <v>Ознакомиться</v>
      </c>
      <c r="W92" s="8" t="s">
        <v>483</v>
      </c>
      <c r="X92" s="6"/>
      <c r="Y92" s="6"/>
      <c r="Z92" s="6"/>
      <c r="AA92" s="6" t="s">
        <v>302</v>
      </c>
    </row>
    <row r="93" spans="1:27" s="4" customFormat="1" ht="51.95" customHeight="1">
      <c r="A93" s="5">
        <v>0</v>
      </c>
      <c r="B93" s="6" t="s">
        <v>658</v>
      </c>
      <c r="C93" s="13">
        <v>714.9</v>
      </c>
      <c r="D93" s="8" t="s">
        <v>659</v>
      </c>
      <c r="E93" s="8" t="s">
        <v>660</v>
      </c>
      <c r="F93" s="8" t="s">
        <v>661</v>
      </c>
      <c r="G93" s="6" t="s">
        <v>37</v>
      </c>
      <c r="H93" s="6" t="s">
        <v>248</v>
      </c>
      <c r="I93" s="8"/>
      <c r="J93" s="9">
        <v>1</v>
      </c>
      <c r="K93" s="9">
        <v>189</v>
      </c>
      <c r="L93" s="9">
        <v>2022</v>
      </c>
      <c r="M93" s="8" t="s">
        <v>662</v>
      </c>
      <c r="N93" s="8" t="s">
        <v>41</v>
      </c>
      <c r="O93" s="8" t="s">
        <v>42</v>
      </c>
      <c r="P93" s="6" t="s">
        <v>433</v>
      </c>
      <c r="Q93" s="8" t="s">
        <v>44</v>
      </c>
      <c r="R93" s="10" t="s">
        <v>663</v>
      </c>
      <c r="S93" s="11" t="s">
        <v>664</v>
      </c>
      <c r="T93" s="6"/>
      <c r="U93" s="27" t="str">
        <f>HYPERLINK("https://media.infra-m.ru/1853/1853529/cover/1853529.jpg", "Обложка")</f>
        <v>Обложка</v>
      </c>
      <c r="V93" s="27" t="str">
        <f>HYPERLINK("https://znanium.com/catalog/product/534512", "Ознакомиться")</f>
        <v>Ознакомиться</v>
      </c>
      <c r="W93" s="8" t="s">
        <v>665</v>
      </c>
      <c r="X93" s="6"/>
      <c r="Y93" s="6"/>
      <c r="Z93" s="6"/>
      <c r="AA93" s="6" t="s">
        <v>208</v>
      </c>
    </row>
    <row r="94" spans="1:27" s="4" customFormat="1" ht="51.95" customHeight="1">
      <c r="A94" s="5">
        <v>0</v>
      </c>
      <c r="B94" s="6" t="s">
        <v>666</v>
      </c>
      <c r="C94" s="13">
        <v>760</v>
      </c>
      <c r="D94" s="8" t="s">
        <v>667</v>
      </c>
      <c r="E94" s="8" t="s">
        <v>668</v>
      </c>
      <c r="F94" s="8" t="s">
        <v>669</v>
      </c>
      <c r="G94" s="6" t="s">
        <v>37</v>
      </c>
      <c r="H94" s="6" t="s">
        <v>38</v>
      </c>
      <c r="I94" s="8" t="s">
        <v>54</v>
      </c>
      <c r="J94" s="9">
        <v>1</v>
      </c>
      <c r="K94" s="9">
        <v>165</v>
      </c>
      <c r="L94" s="9">
        <v>2024</v>
      </c>
      <c r="M94" s="8" t="s">
        <v>670</v>
      </c>
      <c r="N94" s="8" t="s">
        <v>41</v>
      </c>
      <c r="O94" s="8" t="s">
        <v>42</v>
      </c>
      <c r="P94" s="6" t="s">
        <v>58</v>
      </c>
      <c r="Q94" s="8" t="s">
        <v>44</v>
      </c>
      <c r="R94" s="10" t="s">
        <v>671</v>
      </c>
      <c r="S94" s="11"/>
      <c r="T94" s="6"/>
      <c r="U94" s="27" t="str">
        <f>HYPERLINK("https://media.infra-m.ru/2105/2105374/cover/2105374.jpg", "Обложка")</f>
        <v>Обложка</v>
      </c>
      <c r="V94" s="27" t="str">
        <f>HYPERLINK("https://znanium.com/catalog/product/2105374", "Ознакомиться")</f>
        <v>Ознакомиться</v>
      </c>
      <c r="W94" s="8" t="s">
        <v>638</v>
      </c>
      <c r="X94" s="6"/>
      <c r="Y94" s="6"/>
      <c r="Z94" s="6"/>
      <c r="AA94" s="6" t="s">
        <v>48</v>
      </c>
    </row>
    <row r="95" spans="1:27" s="4" customFormat="1" ht="51.95" customHeight="1">
      <c r="A95" s="5">
        <v>0</v>
      </c>
      <c r="B95" s="6" t="s">
        <v>672</v>
      </c>
      <c r="C95" s="7">
        <v>1550</v>
      </c>
      <c r="D95" s="8" t="s">
        <v>673</v>
      </c>
      <c r="E95" s="8" t="s">
        <v>674</v>
      </c>
      <c r="F95" s="8" t="s">
        <v>675</v>
      </c>
      <c r="G95" s="6" t="s">
        <v>37</v>
      </c>
      <c r="H95" s="6" t="s">
        <v>38</v>
      </c>
      <c r="I95" s="8" t="s">
        <v>183</v>
      </c>
      <c r="J95" s="9">
        <v>1</v>
      </c>
      <c r="K95" s="9">
        <v>336</v>
      </c>
      <c r="L95" s="9">
        <v>2024</v>
      </c>
      <c r="M95" s="8" t="s">
        <v>676</v>
      </c>
      <c r="N95" s="8" t="s">
        <v>41</v>
      </c>
      <c r="O95" s="8" t="s">
        <v>42</v>
      </c>
      <c r="P95" s="6" t="s">
        <v>77</v>
      </c>
      <c r="Q95" s="8" t="s">
        <v>89</v>
      </c>
      <c r="R95" s="10" t="s">
        <v>677</v>
      </c>
      <c r="S95" s="11" t="s">
        <v>678</v>
      </c>
      <c r="T95" s="6"/>
      <c r="U95" s="27" t="str">
        <f>HYPERLINK("https://media.infra-m.ru/2102/2102169/cover/2102169.jpg", "Обложка")</f>
        <v>Обложка</v>
      </c>
      <c r="V95" s="27" t="str">
        <f>HYPERLINK("https://znanium.com/catalog/product/2102169", "Ознакомиться")</f>
        <v>Ознакомиться</v>
      </c>
      <c r="W95" s="8" t="s">
        <v>278</v>
      </c>
      <c r="X95" s="6"/>
      <c r="Y95" s="6"/>
      <c r="Z95" s="6"/>
      <c r="AA95" s="6" t="s">
        <v>101</v>
      </c>
    </row>
    <row r="96" spans="1:27" s="4" customFormat="1" ht="51.95" customHeight="1">
      <c r="A96" s="5">
        <v>0</v>
      </c>
      <c r="B96" s="6" t="s">
        <v>679</v>
      </c>
      <c r="C96" s="7">
        <v>1524.9</v>
      </c>
      <c r="D96" s="8" t="s">
        <v>680</v>
      </c>
      <c r="E96" s="8" t="s">
        <v>681</v>
      </c>
      <c r="F96" s="8" t="s">
        <v>682</v>
      </c>
      <c r="G96" s="6" t="s">
        <v>165</v>
      </c>
      <c r="H96" s="6" t="s">
        <v>87</v>
      </c>
      <c r="I96" s="8"/>
      <c r="J96" s="9">
        <v>1</v>
      </c>
      <c r="K96" s="9">
        <v>400</v>
      </c>
      <c r="L96" s="9">
        <v>2022</v>
      </c>
      <c r="M96" s="8" t="s">
        <v>683</v>
      </c>
      <c r="N96" s="8" t="s">
        <v>41</v>
      </c>
      <c r="O96" s="8" t="s">
        <v>42</v>
      </c>
      <c r="P96" s="6" t="s">
        <v>150</v>
      </c>
      <c r="Q96" s="8" t="s">
        <v>89</v>
      </c>
      <c r="R96" s="10" t="s">
        <v>684</v>
      </c>
      <c r="S96" s="11"/>
      <c r="T96" s="6"/>
      <c r="U96" s="27" t="str">
        <f>HYPERLINK("https://media.infra-m.ru/1841/1841433/cover/1841433.jpg", "Обложка")</f>
        <v>Обложка</v>
      </c>
      <c r="V96" s="12"/>
      <c r="W96" s="8" t="s">
        <v>638</v>
      </c>
      <c r="X96" s="6"/>
      <c r="Y96" s="6"/>
      <c r="Z96" s="6"/>
      <c r="AA96" s="6" t="s">
        <v>92</v>
      </c>
    </row>
    <row r="97" spans="1:27" s="4" customFormat="1" ht="51.95" customHeight="1">
      <c r="A97" s="5">
        <v>0</v>
      </c>
      <c r="B97" s="6" t="s">
        <v>685</v>
      </c>
      <c r="C97" s="7">
        <v>1794</v>
      </c>
      <c r="D97" s="8" t="s">
        <v>686</v>
      </c>
      <c r="E97" s="8" t="s">
        <v>681</v>
      </c>
      <c r="F97" s="8" t="s">
        <v>687</v>
      </c>
      <c r="G97" s="6" t="s">
        <v>165</v>
      </c>
      <c r="H97" s="6" t="s">
        <v>87</v>
      </c>
      <c r="I97" s="8" t="s">
        <v>75</v>
      </c>
      <c r="J97" s="9">
        <v>1</v>
      </c>
      <c r="K97" s="9">
        <v>400</v>
      </c>
      <c r="L97" s="9">
        <v>2023</v>
      </c>
      <c r="M97" s="8" t="s">
        <v>688</v>
      </c>
      <c r="N97" s="8" t="s">
        <v>41</v>
      </c>
      <c r="O97" s="8" t="s">
        <v>42</v>
      </c>
      <c r="P97" s="6" t="s">
        <v>150</v>
      </c>
      <c r="Q97" s="8" t="s">
        <v>78</v>
      </c>
      <c r="R97" s="10" t="s">
        <v>689</v>
      </c>
      <c r="S97" s="11" t="s">
        <v>690</v>
      </c>
      <c r="T97" s="6"/>
      <c r="U97" s="27" t="str">
        <f>HYPERLINK("https://media.infra-m.ru/2021/2021417/cover/2021417.jpg", "Обложка")</f>
        <v>Обложка</v>
      </c>
      <c r="V97" s="27" t="str">
        <f>HYPERLINK("https://znanium.com/catalog/product/960137", "Ознакомиться")</f>
        <v>Ознакомиться</v>
      </c>
      <c r="W97" s="8" t="s">
        <v>638</v>
      </c>
      <c r="X97" s="6"/>
      <c r="Y97" s="6"/>
      <c r="Z97" s="6" t="s">
        <v>82</v>
      </c>
      <c r="AA97" s="6" t="s">
        <v>70</v>
      </c>
    </row>
    <row r="98" spans="1:27" s="4" customFormat="1" ht="51.95" customHeight="1">
      <c r="A98" s="5">
        <v>0</v>
      </c>
      <c r="B98" s="6" t="s">
        <v>691</v>
      </c>
      <c r="C98" s="13">
        <v>990</v>
      </c>
      <c r="D98" s="8" t="s">
        <v>692</v>
      </c>
      <c r="E98" s="8" t="s">
        <v>693</v>
      </c>
      <c r="F98" s="8" t="s">
        <v>694</v>
      </c>
      <c r="G98" s="6" t="s">
        <v>53</v>
      </c>
      <c r="H98" s="6" t="s">
        <v>608</v>
      </c>
      <c r="I98" s="8" t="s">
        <v>695</v>
      </c>
      <c r="J98" s="9">
        <v>1</v>
      </c>
      <c r="K98" s="9">
        <v>264</v>
      </c>
      <c r="L98" s="9">
        <v>2022</v>
      </c>
      <c r="M98" s="8" t="s">
        <v>696</v>
      </c>
      <c r="N98" s="8" t="s">
        <v>56</v>
      </c>
      <c r="O98" s="8" t="s">
        <v>57</v>
      </c>
      <c r="P98" s="6" t="s">
        <v>697</v>
      </c>
      <c r="Q98" s="8" t="s">
        <v>44</v>
      </c>
      <c r="R98" s="10" t="s">
        <v>698</v>
      </c>
      <c r="S98" s="11"/>
      <c r="T98" s="6"/>
      <c r="U98" s="27" t="str">
        <f>HYPERLINK("https://media.infra-m.ru/1817/1817008/cover/1817008.jpg", "Обложка")</f>
        <v>Обложка</v>
      </c>
      <c r="V98" s="27" t="str">
        <f>HYPERLINK("https://znanium.com/catalog/product/1817008", "Ознакомиться")</f>
        <v>Ознакомиться</v>
      </c>
      <c r="W98" s="8" t="s">
        <v>699</v>
      </c>
      <c r="X98" s="6"/>
      <c r="Y98" s="6"/>
      <c r="Z98" s="6"/>
      <c r="AA98" s="6" t="s">
        <v>250</v>
      </c>
    </row>
    <row r="99" spans="1:27" s="4" customFormat="1" ht="51.95" customHeight="1">
      <c r="A99" s="5">
        <v>0</v>
      </c>
      <c r="B99" s="6" t="s">
        <v>700</v>
      </c>
      <c r="C99" s="7">
        <v>1070</v>
      </c>
      <c r="D99" s="8" t="s">
        <v>701</v>
      </c>
      <c r="E99" s="8" t="s">
        <v>702</v>
      </c>
      <c r="F99" s="8" t="s">
        <v>703</v>
      </c>
      <c r="G99" s="6" t="s">
        <v>37</v>
      </c>
      <c r="H99" s="6" t="s">
        <v>38</v>
      </c>
      <c r="I99" s="8" t="s">
        <v>183</v>
      </c>
      <c r="J99" s="9">
        <v>1</v>
      </c>
      <c r="K99" s="9">
        <v>232</v>
      </c>
      <c r="L99" s="9">
        <v>2024</v>
      </c>
      <c r="M99" s="8" t="s">
        <v>704</v>
      </c>
      <c r="N99" s="8" t="s">
        <v>41</v>
      </c>
      <c r="O99" s="8" t="s">
        <v>42</v>
      </c>
      <c r="P99" s="6" t="s">
        <v>150</v>
      </c>
      <c r="Q99" s="8" t="s">
        <v>89</v>
      </c>
      <c r="R99" s="10" t="s">
        <v>705</v>
      </c>
      <c r="S99" s="11" t="s">
        <v>706</v>
      </c>
      <c r="T99" s="6"/>
      <c r="U99" s="27" t="str">
        <f>HYPERLINK("https://media.infra-m.ru/2102/2102681/cover/2102681.jpg", "Обложка")</f>
        <v>Обложка</v>
      </c>
      <c r="V99" s="27" t="str">
        <f>HYPERLINK("https://znanium.com/catalog/product/2102681", "Ознакомиться")</f>
        <v>Ознакомиться</v>
      </c>
      <c r="W99" s="8" t="s">
        <v>707</v>
      </c>
      <c r="X99" s="6"/>
      <c r="Y99" s="6"/>
      <c r="Z99" s="6"/>
      <c r="AA99" s="6" t="s">
        <v>189</v>
      </c>
    </row>
    <row r="100" spans="1:27" s="4" customFormat="1" ht="51.95" customHeight="1">
      <c r="A100" s="5">
        <v>0</v>
      </c>
      <c r="B100" s="6" t="s">
        <v>708</v>
      </c>
      <c r="C100" s="13">
        <v>840</v>
      </c>
      <c r="D100" s="8" t="s">
        <v>709</v>
      </c>
      <c r="E100" s="8" t="s">
        <v>702</v>
      </c>
      <c r="F100" s="8" t="s">
        <v>703</v>
      </c>
      <c r="G100" s="6" t="s">
        <v>165</v>
      </c>
      <c r="H100" s="6" t="s">
        <v>38</v>
      </c>
      <c r="I100" s="8" t="s">
        <v>75</v>
      </c>
      <c r="J100" s="9">
        <v>1</v>
      </c>
      <c r="K100" s="9">
        <v>232</v>
      </c>
      <c r="L100" s="9">
        <v>2021</v>
      </c>
      <c r="M100" s="8" t="s">
        <v>710</v>
      </c>
      <c r="N100" s="8" t="s">
        <v>41</v>
      </c>
      <c r="O100" s="8" t="s">
        <v>42</v>
      </c>
      <c r="P100" s="6" t="s">
        <v>150</v>
      </c>
      <c r="Q100" s="8" t="s">
        <v>78</v>
      </c>
      <c r="R100" s="10" t="s">
        <v>276</v>
      </c>
      <c r="S100" s="11" t="s">
        <v>711</v>
      </c>
      <c r="T100" s="6"/>
      <c r="U100" s="27" t="str">
        <f>HYPERLINK("https://media.infra-m.ru/1141/1141770/cover/1141770.jpg", "Обложка")</f>
        <v>Обложка</v>
      </c>
      <c r="V100" s="27" t="str">
        <f>HYPERLINK("https://znanium.com/catalog/product/1141770", "Ознакомиться")</f>
        <v>Ознакомиться</v>
      </c>
      <c r="W100" s="8" t="s">
        <v>707</v>
      </c>
      <c r="X100" s="6"/>
      <c r="Y100" s="6"/>
      <c r="Z100" s="6" t="s">
        <v>82</v>
      </c>
      <c r="AA100" s="6" t="s">
        <v>317</v>
      </c>
    </row>
    <row r="101" spans="1:27" s="4" customFormat="1" ht="42" customHeight="1">
      <c r="A101" s="5">
        <v>0</v>
      </c>
      <c r="B101" s="6" t="s">
        <v>712</v>
      </c>
      <c r="C101" s="13">
        <v>570</v>
      </c>
      <c r="D101" s="8" t="s">
        <v>713</v>
      </c>
      <c r="E101" s="8" t="s">
        <v>714</v>
      </c>
      <c r="F101" s="8" t="s">
        <v>715</v>
      </c>
      <c r="G101" s="6" t="s">
        <v>53</v>
      </c>
      <c r="H101" s="6" t="s">
        <v>38</v>
      </c>
      <c r="I101" s="8" t="s">
        <v>183</v>
      </c>
      <c r="J101" s="9">
        <v>1</v>
      </c>
      <c r="K101" s="9">
        <v>124</v>
      </c>
      <c r="L101" s="9">
        <v>2024</v>
      </c>
      <c r="M101" s="8" t="s">
        <v>716</v>
      </c>
      <c r="N101" s="8" t="s">
        <v>41</v>
      </c>
      <c r="O101" s="8" t="s">
        <v>42</v>
      </c>
      <c r="P101" s="6" t="s">
        <v>185</v>
      </c>
      <c r="Q101" s="8" t="s">
        <v>89</v>
      </c>
      <c r="R101" s="10" t="s">
        <v>717</v>
      </c>
      <c r="S101" s="11"/>
      <c r="T101" s="6" t="s">
        <v>46</v>
      </c>
      <c r="U101" s="27" t="str">
        <f>HYPERLINK("https://media.infra-m.ru/2103/2103731/cover/2103731.jpg", "Обложка")</f>
        <v>Обложка</v>
      </c>
      <c r="V101" s="27" t="str">
        <f>HYPERLINK("https://znanium.com/catalog/product/2103731", "Ознакомиться")</f>
        <v>Ознакомиться</v>
      </c>
      <c r="W101" s="8" t="s">
        <v>718</v>
      </c>
      <c r="X101" s="6"/>
      <c r="Y101" s="6"/>
      <c r="Z101" s="6"/>
      <c r="AA101" s="6" t="s">
        <v>622</v>
      </c>
    </row>
    <row r="102" spans="1:27" s="4" customFormat="1" ht="51.95" customHeight="1">
      <c r="A102" s="5">
        <v>0</v>
      </c>
      <c r="B102" s="6" t="s">
        <v>719</v>
      </c>
      <c r="C102" s="7">
        <v>1794.9</v>
      </c>
      <c r="D102" s="8" t="s">
        <v>720</v>
      </c>
      <c r="E102" s="8" t="s">
        <v>721</v>
      </c>
      <c r="F102" s="8" t="s">
        <v>722</v>
      </c>
      <c r="G102" s="6" t="s">
        <v>165</v>
      </c>
      <c r="H102" s="6" t="s">
        <v>723</v>
      </c>
      <c r="I102" s="8"/>
      <c r="J102" s="9">
        <v>1</v>
      </c>
      <c r="K102" s="9">
        <v>399</v>
      </c>
      <c r="L102" s="9">
        <v>2023</v>
      </c>
      <c r="M102" s="8" t="s">
        <v>724</v>
      </c>
      <c r="N102" s="8" t="s">
        <v>41</v>
      </c>
      <c r="O102" s="8" t="s">
        <v>42</v>
      </c>
      <c r="P102" s="6" t="s">
        <v>58</v>
      </c>
      <c r="Q102" s="8" t="s">
        <v>44</v>
      </c>
      <c r="R102" s="10" t="s">
        <v>725</v>
      </c>
      <c r="S102" s="11"/>
      <c r="T102" s="6"/>
      <c r="U102" s="27" t="str">
        <f>HYPERLINK("https://media.infra-m.ru/1895/1895704/cover/1895704.jpg", "Обложка")</f>
        <v>Обложка</v>
      </c>
      <c r="V102" s="27" t="str">
        <f>HYPERLINK("https://znanium.com/catalog/product/1048491", "Ознакомиться")</f>
        <v>Ознакомиться</v>
      </c>
      <c r="W102" s="8" t="s">
        <v>726</v>
      </c>
      <c r="X102" s="6"/>
      <c r="Y102" s="6"/>
      <c r="Z102" s="6"/>
      <c r="AA102" s="6" t="s">
        <v>556</v>
      </c>
    </row>
    <row r="103" spans="1:27" s="4" customFormat="1" ht="51.95" customHeight="1">
      <c r="A103" s="5">
        <v>0</v>
      </c>
      <c r="B103" s="6" t="s">
        <v>727</v>
      </c>
      <c r="C103" s="13">
        <v>880</v>
      </c>
      <c r="D103" s="8" t="s">
        <v>728</v>
      </c>
      <c r="E103" s="8" t="s">
        <v>729</v>
      </c>
      <c r="F103" s="8" t="s">
        <v>730</v>
      </c>
      <c r="G103" s="6" t="s">
        <v>53</v>
      </c>
      <c r="H103" s="6" t="s">
        <v>38</v>
      </c>
      <c r="I103" s="8" t="s">
        <v>54</v>
      </c>
      <c r="J103" s="9">
        <v>1</v>
      </c>
      <c r="K103" s="9">
        <v>193</v>
      </c>
      <c r="L103" s="9">
        <v>2023</v>
      </c>
      <c r="M103" s="8" t="s">
        <v>731</v>
      </c>
      <c r="N103" s="8" t="s">
        <v>41</v>
      </c>
      <c r="O103" s="8" t="s">
        <v>42</v>
      </c>
      <c r="P103" s="6" t="s">
        <v>58</v>
      </c>
      <c r="Q103" s="8" t="s">
        <v>44</v>
      </c>
      <c r="R103" s="10" t="s">
        <v>732</v>
      </c>
      <c r="S103" s="11"/>
      <c r="T103" s="6"/>
      <c r="U103" s="27" t="str">
        <f>HYPERLINK("https://media.infra-m.ru/1938/1938025/cover/1938025.jpg", "Обложка")</f>
        <v>Обложка</v>
      </c>
      <c r="V103" s="27" t="str">
        <f>HYPERLINK("https://znanium.com/catalog/product/1938025", "Ознакомиться")</f>
        <v>Ознакомиться</v>
      </c>
      <c r="W103" s="8" t="s">
        <v>733</v>
      </c>
      <c r="X103" s="6"/>
      <c r="Y103" s="6"/>
      <c r="Z103" s="6"/>
      <c r="AA103" s="6" t="s">
        <v>136</v>
      </c>
    </row>
    <row r="104" spans="1:27" s="4" customFormat="1" ht="51.95" customHeight="1">
      <c r="A104" s="5">
        <v>0</v>
      </c>
      <c r="B104" s="6" t="s">
        <v>734</v>
      </c>
      <c r="C104" s="7">
        <v>2400</v>
      </c>
      <c r="D104" s="8" t="s">
        <v>735</v>
      </c>
      <c r="E104" s="8" t="s">
        <v>736</v>
      </c>
      <c r="F104" s="8" t="s">
        <v>737</v>
      </c>
      <c r="G104" s="6" t="s">
        <v>37</v>
      </c>
      <c r="H104" s="6" t="s">
        <v>38</v>
      </c>
      <c r="I104" s="8" t="s">
        <v>738</v>
      </c>
      <c r="J104" s="9">
        <v>1</v>
      </c>
      <c r="K104" s="9">
        <v>539</v>
      </c>
      <c r="L104" s="9">
        <v>2023</v>
      </c>
      <c r="M104" s="8" t="s">
        <v>739</v>
      </c>
      <c r="N104" s="8" t="s">
        <v>56</v>
      </c>
      <c r="O104" s="8" t="s">
        <v>57</v>
      </c>
      <c r="P104" s="6" t="s">
        <v>150</v>
      </c>
      <c r="Q104" s="8" t="s">
        <v>740</v>
      </c>
      <c r="R104" s="10" t="s">
        <v>741</v>
      </c>
      <c r="S104" s="11" t="s">
        <v>742</v>
      </c>
      <c r="T104" s="6"/>
      <c r="U104" s="27" t="str">
        <f>HYPERLINK("https://media.infra-m.ru/2002/2002637/cover/2002637.jpg", "Обложка")</f>
        <v>Обложка</v>
      </c>
      <c r="V104" s="27" t="str">
        <f>HYPERLINK("https://znanium.com/catalog/product/2002637", "Ознакомиться")</f>
        <v>Ознакомиться</v>
      </c>
      <c r="W104" s="8" t="s">
        <v>278</v>
      </c>
      <c r="X104" s="6"/>
      <c r="Y104" s="6"/>
      <c r="Z104" s="6"/>
      <c r="AA104" s="6" t="s">
        <v>83</v>
      </c>
    </row>
    <row r="105" spans="1:27" s="4" customFormat="1" ht="51.95" customHeight="1">
      <c r="A105" s="5">
        <v>0</v>
      </c>
      <c r="B105" s="6" t="s">
        <v>743</v>
      </c>
      <c r="C105" s="13">
        <v>384.9</v>
      </c>
      <c r="D105" s="8" t="s">
        <v>744</v>
      </c>
      <c r="E105" s="8" t="s">
        <v>745</v>
      </c>
      <c r="F105" s="8" t="s">
        <v>746</v>
      </c>
      <c r="G105" s="6" t="s">
        <v>53</v>
      </c>
      <c r="H105" s="6" t="s">
        <v>38</v>
      </c>
      <c r="I105" s="8" t="s">
        <v>54</v>
      </c>
      <c r="J105" s="9">
        <v>1</v>
      </c>
      <c r="K105" s="9">
        <v>110</v>
      </c>
      <c r="L105" s="9">
        <v>2020</v>
      </c>
      <c r="M105" s="8" t="s">
        <v>747</v>
      </c>
      <c r="N105" s="8" t="s">
        <v>41</v>
      </c>
      <c r="O105" s="8" t="s">
        <v>42</v>
      </c>
      <c r="P105" s="6" t="s">
        <v>58</v>
      </c>
      <c r="Q105" s="8" t="s">
        <v>44</v>
      </c>
      <c r="R105" s="10" t="s">
        <v>748</v>
      </c>
      <c r="S105" s="11"/>
      <c r="T105" s="6"/>
      <c r="U105" s="27" t="str">
        <f>HYPERLINK("https://media.infra-m.ru/1047/1047112/cover/1047112.jpg", "Обложка")</f>
        <v>Обложка</v>
      </c>
      <c r="V105" s="27" t="str">
        <f>HYPERLINK("https://znanium.com/catalog/product/950370", "Ознакомиться")</f>
        <v>Ознакомиться</v>
      </c>
      <c r="W105" s="8" t="s">
        <v>379</v>
      </c>
      <c r="X105" s="6"/>
      <c r="Y105" s="6"/>
      <c r="Z105" s="6"/>
      <c r="AA105" s="6" t="s">
        <v>48</v>
      </c>
    </row>
    <row r="106" spans="1:27" s="4" customFormat="1" ht="42" customHeight="1">
      <c r="A106" s="5">
        <v>0</v>
      </c>
      <c r="B106" s="6" t="s">
        <v>749</v>
      </c>
      <c r="C106" s="7">
        <v>2190</v>
      </c>
      <c r="D106" s="8" t="s">
        <v>750</v>
      </c>
      <c r="E106" s="8" t="s">
        <v>751</v>
      </c>
      <c r="F106" s="8" t="s">
        <v>752</v>
      </c>
      <c r="G106" s="6" t="s">
        <v>165</v>
      </c>
      <c r="H106" s="6" t="s">
        <v>38</v>
      </c>
      <c r="I106" s="8" t="s">
        <v>54</v>
      </c>
      <c r="J106" s="9">
        <v>1</v>
      </c>
      <c r="K106" s="9">
        <v>612</v>
      </c>
      <c r="L106" s="9">
        <v>2022</v>
      </c>
      <c r="M106" s="8" t="s">
        <v>753</v>
      </c>
      <c r="N106" s="8" t="s">
        <v>41</v>
      </c>
      <c r="O106" s="8" t="s">
        <v>42</v>
      </c>
      <c r="P106" s="6" t="s">
        <v>58</v>
      </c>
      <c r="Q106" s="8" t="s">
        <v>44</v>
      </c>
      <c r="R106" s="10" t="s">
        <v>295</v>
      </c>
      <c r="S106" s="11"/>
      <c r="T106" s="6"/>
      <c r="U106" s="27" t="str">
        <f>HYPERLINK("https://media.infra-m.ru/1859/1859603/cover/1859603.jpg", "Обложка")</f>
        <v>Обложка</v>
      </c>
      <c r="V106" s="27" t="str">
        <f>HYPERLINK("https://znanium.com/catalog/product/1859603", "Ознакомиться")</f>
        <v>Ознакомиться</v>
      </c>
      <c r="W106" s="8" t="s">
        <v>621</v>
      </c>
      <c r="X106" s="6"/>
      <c r="Y106" s="6"/>
      <c r="Z106" s="6"/>
      <c r="AA106" s="6" t="s">
        <v>178</v>
      </c>
    </row>
    <row r="107" spans="1:27" s="4" customFormat="1" ht="44.1" customHeight="1">
      <c r="A107" s="5">
        <v>0</v>
      </c>
      <c r="B107" s="6" t="s">
        <v>754</v>
      </c>
      <c r="C107" s="7">
        <v>1390</v>
      </c>
      <c r="D107" s="8" t="s">
        <v>755</v>
      </c>
      <c r="E107" s="8" t="s">
        <v>756</v>
      </c>
      <c r="F107" s="8" t="s">
        <v>757</v>
      </c>
      <c r="G107" s="6" t="s">
        <v>165</v>
      </c>
      <c r="H107" s="6" t="s">
        <v>38</v>
      </c>
      <c r="I107" s="8" t="s">
        <v>54</v>
      </c>
      <c r="J107" s="9">
        <v>1</v>
      </c>
      <c r="K107" s="9">
        <v>380</v>
      </c>
      <c r="L107" s="9">
        <v>2020</v>
      </c>
      <c r="M107" s="8" t="s">
        <v>758</v>
      </c>
      <c r="N107" s="8" t="s">
        <v>41</v>
      </c>
      <c r="O107" s="8" t="s">
        <v>42</v>
      </c>
      <c r="P107" s="6" t="s">
        <v>58</v>
      </c>
      <c r="Q107" s="8" t="s">
        <v>44</v>
      </c>
      <c r="R107" s="10" t="s">
        <v>496</v>
      </c>
      <c r="S107" s="11"/>
      <c r="T107" s="6"/>
      <c r="U107" s="27" t="str">
        <f>HYPERLINK("https://media.infra-m.ru/1031/1031494/cover/1031494.jpg", "Обложка")</f>
        <v>Обложка</v>
      </c>
      <c r="V107" s="27" t="str">
        <f>HYPERLINK("https://znanium.com/catalog/product/1031494", "Ознакомиться")</f>
        <v>Ознакомиться</v>
      </c>
      <c r="W107" s="8" t="s">
        <v>759</v>
      </c>
      <c r="X107" s="6"/>
      <c r="Y107" s="6"/>
      <c r="Z107" s="6"/>
      <c r="AA107" s="6" t="s">
        <v>136</v>
      </c>
    </row>
    <row r="108" spans="1:27" s="4" customFormat="1" ht="51.95" customHeight="1">
      <c r="A108" s="5">
        <v>0</v>
      </c>
      <c r="B108" s="6" t="s">
        <v>760</v>
      </c>
      <c r="C108" s="7">
        <v>1190</v>
      </c>
      <c r="D108" s="8" t="s">
        <v>761</v>
      </c>
      <c r="E108" s="8" t="s">
        <v>762</v>
      </c>
      <c r="F108" s="8" t="s">
        <v>763</v>
      </c>
      <c r="G108" s="6" t="s">
        <v>37</v>
      </c>
      <c r="H108" s="6" t="s">
        <v>38</v>
      </c>
      <c r="I108" s="8" t="s">
        <v>764</v>
      </c>
      <c r="J108" s="9">
        <v>1</v>
      </c>
      <c r="K108" s="9">
        <v>264</v>
      </c>
      <c r="L108" s="9">
        <v>2023</v>
      </c>
      <c r="M108" s="8" t="s">
        <v>765</v>
      </c>
      <c r="N108" s="8" t="s">
        <v>41</v>
      </c>
      <c r="O108" s="8" t="s">
        <v>42</v>
      </c>
      <c r="P108" s="6" t="s">
        <v>58</v>
      </c>
      <c r="Q108" s="8" t="s">
        <v>44</v>
      </c>
      <c r="R108" s="10" t="s">
        <v>766</v>
      </c>
      <c r="S108" s="11"/>
      <c r="T108" s="6"/>
      <c r="U108" s="27" t="str">
        <f>HYPERLINK("https://media.infra-m.ru/1916/1916409/cover/1916409.jpg", "Обложка")</f>
        <v>Обложка</v>
      </c>
      <c r="V108" s="27" t="str">
        <f>HYPERLINK("https://znanium.com/catalog/product/1916409", "Ознакомиться")</f>
        <v>Ознакомиться</v>
      </c>
      <c r="W108" s="8" t="s">
        <v>759</v>
      </c>
      <c r="X108" s="6"/>
      <c r="Y108" s="6"/>
      <c r="Z108" s="6"/>
      <c r="AA108" s="6" t="s">
        <v>48</v>
      </c>
    </row>
    <row r="109" spans="1:27" s="4" customFormat="1" ht="42" customHeight="1">
      <c r="A109" s="5">
        <v>0</v>
      </c>
      <c r="B109" s="6" t="s">
        <v>767</v>
      </c>
      <c r="C109" s="7">
        <v>1090</v>
      </c>
      <c r="D109" s="8" t="s">
        <v>768</v>
      </c>
      <c r="E109" s="8" t="s">
        <v>769</v>
      </c>
      <c r="F109" s="8" t="s">
        <v>770</v>
      </c>
      <c r="G109" s="6" t="s">
        <v>37</v>
      </c>
      <c r="H109" s="6" t="s">
        <v>38</v>
      </c>
      <c r="I109" s="8" t="s">
        <v>771</v>
      </c>
      <c r="J109" s="9">
        <v>1</v>
      </c>
      <c r="K109" s="9">
        <v>243</v>
      </c>
      <c r="L109" s="9">
        <v>2023</v>
      </c>
      <c r="M109" s="8" t="s">
        <v>772</v>
      </c>
      <c r="N109" s="8" t="s">
        <v>41</v>
      </c>
      <c r="O109" s="8" t="s">
        <v>42</v>
      </c>
      <c r="P109" s="6" t="s">
        <v>58</v>
      </c>
      <c r="Q109" s="8" t="s">
        <v>44</v>
      </c>
      <c r="R109" s="10" t="s">
        <v>68</v>
      </c>
      <c r="S109" s="11"/>
      <c r="T109" s="6"/>
      <c r="U109" s="27" t="str">
        <f>HYPERLINK("https://media.infra-m.ru/1929/1929155/cover/1929155.jpg", "Обложка")</f>
        <v>Обложка</v>
      </c>
      <c r="V109" s="27" t="str">
        <f>HYPERLINK("https://znanium.com/catalog/product/1929155", "Ознакомиться")</f>
        <v>Ознакомиться</v>
      </c>
      <c r="W109" s="8" t="s">
        <v>759</v>
      </c>
      <c r="X109" s="6"/>
      <c r="Y109" s="6"/>
      <c r="Z109" s="6"/>
      <c r="AA109" s="6" t="s">
        <v>83</v>
      </c>
    </row>
    <row r="110" spans="1:27" s="4" customFormat="1" ht="51.95" customHeight="1">
      <c r="A110" s="5">
        <v>0</v>
      </c>
      <c r="B110" s="6" t="s">
        <v>773</v>
      </c>
      <c r="C110" s="13">
        <v>814</v>
      </c>
      <c r="D110" s="8" t="s">
        <v>774</v>
      </c>
      <c r="E110" s="8" t="s">
        <v>775</v>
      </c>
      <c r="F110" s="8" t="s">
        <v>776</v>
      </c>
      <c r="G110" s="6" t="s">
        <v>37</v>
      </c>
      <c r="H110" s="6" t="s">
        <v>38</v>
      </c>
      <c r="I110" s="8" t="s">
        <v>173</v>
      </c>
      <c r="J110" s="9">
        <v>1</v>
      </c>
      <c r="K110" s="9">
        <v>176</v>
      </c>
      <c r="L110" s="9">
        <v>2024</v>
      </c>
      <c r="M110" s="8" t="s">
        <v>777</v>
      </c>
      <c r="N110" s="8" t="s">
        <v>41</v>
      </c>
      <c r="O110" s="8" t="s">
        <v>42</v>
      </c>
      <c r="P110" s="6" t="s">
        <v>77</v>
      </c>
      <c r="Q110" s="8" t="s">
        <v>89</v>
      </c>
      <c r="R110" s="10" t="s">
        <v>766</v>
      </c>
      <c r="S110" s="11" t="s">
        <v>778</v>
      </c>
      <c r="T110" s="6"/>
      <c r="U110" s="27" t="str">
        <f>HYPERLINK("https://media.infra-m.ru/2087/2087721/cover/2087721.jpg", "Обложка")</f>
        <v>Обложка</v>
      </c>
      <c r="V110" s="27" t="str">
        <f>HYPERLINK("https://znanium.com/catalog/product/2080237", "Ознакомиться")</f>
        <v>Ознакомиться</v>
      </c>
      <c r="W110" s="8" t="s">
        <v>779</v>
      </c>
      <c r="X110" s="6"/>
      <c r="Y110" s="6"/>
      <c r="Z110" s="6"/>
      <c r="AA110" s="6" t="s">
        <v>101</v>
      </c>
    </row>
    <row r="111" spans="1:27" s="4" customFormat="1" ht="42" customHeight="1">
      <c r="A111" s="5">
        <v>0</v>
      </c>
      <c r="B111" s="6" t="s">
        <v>780</v>
      </c>
      <c r="C111" s="13">
        <v>990</v>
      </c>
      <c r="D111" s="8" t="s">
        <v>781</v>
      </c>
      <c r="E111" s="8" t="s">
        <v>782</v>
      </c>
      <c r="F111" s="8" t="s">
        <v>783</v>
      </c>
      <c r="G111" s="6" t="s">
        <v>165</v>
      </c>
      <c r="H111" s="6" t="s">
        <v>38</v>
      </c>
      <c r="I111" s="8" t="s">
        <v>183</v>
      </c>
      <c r="J111" s="9">
        <v>1</v>
      </c>
      <c r="K111" s="9">
        <v>205</v>
      </c>
      <c r="L111" s="9">
        <v>2024</v>
      </c>
      <c r="M111" s="8" t="s">
        <v>784</v>
      </c>
      <c r="N111" s="8" t="s">
        <v>41</v>
      </c>
      <c r="O111" s="8" t="s">
        <v>42</v>
      </c>
      <c r="P111" s="6" t="s">
        <v>77</v>
      </c>
      <c r="Q111" s="8" t="s">
        <v>89</v>
      </c>
      <c r="R111" s="10" t="s">
        <v>295</v>
      </c>
      <c r="S111" s="11"/>
      <c r="T111" s="6"/>
      <c r="U111" s="27" t="str">
        <f>HYPERLINK("https://media.infra-m.ru/1846/1846128/cover/1846128.jpg", "Обложка")</f>
        <v>Обложка</v>
      </c>
      <c r="V111" s="27" t="str">
        <f>HYPERLINK("https://znanium.com/catalog/product/1846128", "Ознакомиться")</f>
        <v>Ознакомиться</v>
      </c>
      <c r="W111" s="8" t="s">
        <v>785</v>
      </c>
      <c r="X111" s="6" t="s">
        <v>334</v>
      </c>
      <c r="Y111" s="6"/>
      <c r="Z111" s="6"/>
      <c r="AA111" s="6" t="s">
        <v>270</v>
      </c>
    </row>
    <row r="112" spans="1:27" s="4" customFormat="1" ht="51.95" customHeight="1">
      <c r="A112" s="5">
        <v>0</v>
      </c>
      <c r="B112" s="6" t="s">
        <v>786</v>
      </c>
      <c r="C112" s="13">
        <v>694</v>
      </c>
      <c r="D112" s="8" t="s">
        <v>787</v>
      </c>
      <c r="E112" s="8" t="s">
        <v>788</v>
      </c>
      <c r="F112" s="8" t="s">
        <v>376</v>
      </c>
      <c r="G112" s="6" t="s">
        <v>53</v>
      </c>
      <c r="H112" s="6" t="s">
        <v>38</v>
      </c>
      <c r="I112" s="8" t="s">
        <v>54</v>
      </c>
      <c r="J112" s="9">
        <v>1</v>
      </c>
      <c r="K112" s="9">
        <v>150</v>
      </c>
      <c r="L112" s="9">
        <v>2023</v>
      </c>
      <c r="M112" s="8" t="s">
        <v>789</v>
      </c>
      <c r="N112" s="8" t="s">
        <v>41</v>
      </c>
      <c r="O112" s="8" t="s">
        <v>42</v>
      </c>
      <c r="P112" s="6" t="s">
        <v>58</v>
      </c>
      <c r="Q112" s="8" t="s">
        <v>44</v>
      </c>
      <c r="R112" s="10" t="s">
        <v>790</v>
      </c>
      <c r="S112" s="11"/>
      <c r="T112" s="6"/>
      <c r="U112" s="27" t="str">
        <f>HYPERLINK("https://media.infra-m.ru/2082/2082718/cover/2082718.jpg", "Обложка")</f>
        <v>Обложка</v>
      </c>
      <c r="V112" s="27" t="str">
        <f>HYPERLINK("https://znanium.com/catalog/product/1869611", "Ознакомиться")</f>
        <v>Ознакомиться</v>
      </c>
      <c r="W112" s="8" t="s">
        <v>379</v>
      </c>
      <c r="X112" s="6"/>
      <c r="Y112" s="6"/>
      <c r="Z112" s="6"/>
      <c r="AA112" s="6" t="s">
        <v>48</v>
      </c>
    </row>
    <row r="113" spans="1:27" s="4" customFormat="1" ht="51.95" customHeight="1">
      <c r="A113" s="5">
        <v>0</v>
      </c>
      <c r="B113" s="6" t="s">
        <v>791</v>
      </c>
      <c r="C113" s="7">
        <v>1410</v>
      </c>
      <c r="D113" s="8" t="s">
        <v>792</v>
      </c>
      <c r="E113" s="8" t="s">
        <v>793</v>
      </c>
      <c r="F113" s="8" t="s">
        <v>794</v>
      </c>
      <c r="G113" s="6" t="s">
        <v>37</v>
      </c>
      <c r="H113" s="6" t="s">
        <v>38</v>
      </c>
      <c r="I113" s="8" t="s">
        <v>173</v>
      </c>
      <c r="J113" s="9">
        <v>1</v>
      </c>
      <c r="K113" s="9">
        <v>484</v>
      </c>
      <c r="L113" s="9">
        <v>2018</v>
      </c>
      <c r="M113" s="8" t="s">
        <v>795</v>
      </c>
      <c r="N113" s="8" t="s">
        <v>41</v>
      </c>
      <c r="O113" s="8" t="s">
        <v>42</v>
      </c>
      <c r="P113" s="6" t="s">
        <v>77</v>
      </c>
      <c r="Q113" s="8" t="s">
        <v>89</v>
      </c>
      <c r="R113" s="10" t="s">
        <v>295</v>
      </c>
      <c r="S113" s="11" t="s">
        <v>796</v>
      </c>
      <c r="T113" s="6" t="s">
        <v>46</v>
      </c>
      <c r="U113" s="27" t="str">
        <f>HYPERLINK("https://media.infra-m.ru/0925/0925830/cover/925830.jpg", "Обложка")</f>
        <v>Обложка</v>
      </c>
      <c r="V113" s="27" t="str">
        <f>HYPERLINK("https://znanium.com/catalog/product/2088772", "Ознакомиться")</f>
        <v>Ознакомиться</v>
      </c>
      <c r="W113" s="8" t="s">
        <v>278</v>
      </c>
      <c r="X113" s="6"/>
      <c r="Y113" s="6"/>
      <c r="Z113" s="6"/>
      <c r="AA113" s="6" t="s">
        <v>109</v>
      </c>
    </row>
    <row r="114" spans="1:27" s="4" customFormat="1" ht="51.95" customHeight="1">
      <c r="A114" s="5">
        <v>0</v>
      </c>
      <c r="B114" s="6" t="s">
        <v>797</v>
      </c>
      <c r="C114" s="13">
        <v>574</v>
      </c>
      <c r="D114" s="8" t="s">
        <v>798</v>
      </c>
      <c r="E114" s="8" t="s">
        <v>799</v>
      </c>
      <c r="F114" s="8" t="s">
        <v>800</v>
      </c>
      <c r="G114" s="6" t="s">
        <v>53</v>
      </c>
      <c r="H114" s="6" t="s">
        <v>87</v>
      </c>
      <c r="I114" s="8" t="s">
        <v>183</v>
      </c>
      <c r="J114" s="9">
        <v>1</v>
      </c>
      <c r="K114" s="9">
        <v>112</v>
      </c>
      <c r="L114" s="9">
        <v>2024</v>
      </c>
      <c r="M114" s="8" t="s">
        <v>801</v>
      </c>
      <c r="N114" s="8" t="s">
        <v>41</v>
      </c>
      <c r="O114" s="8" t="s">
        <v>42</v>
      </c>
      <c r="P114" s="6" t="s">
        <v>77</v>
      </c>
      <c r="Q114" s="8" t="s">
        <v>89</v>
      </c>
      <c r="R114" s="10" t="s">
        <v>802</v>
      </c>
      <c r="S114" s="11" t="s">
        <v>803</v>
      </c>
      <c r="T114" s="6"/>
      <c r="U114" s="27" t="str">
        <f>HYPERLINK("https://media.infra-m.ru/2093/2093911/cover/2093911.jpg", "Обложка")</f>
        <v>Обложка</v>
      </c>
      <c r="V114" s="12"/>
      <c r="W114" s="8" t="s">
        <v>804</v>
      </c>
      <c r="X114" s="6"/>
      <c r="Y114" s="6"/>
      <c r="Z114" s="6"/>
      <c r="AA114" s="6" t="s">
        <v>250</v>
      </c>
    </row>
    <row r="115" spans="1:27" s="4" customFormat="1" ht="51.95" customHeight="1">
      <c r="A115" s="5">
        <v>0</v>
      </c>
      <c r="B115" s="6" t="s">
        <v>805</v>
      </c>
      <c r="C115" s="13">
        <v>654</v>
      </c>
      <c r="D115" s="8" t="s">
        <v>806</v>
      </c>
      <c r="E115" s="8" t="s">
        <v>807</v>
      </c>
      <c r="F115" s="8" t="s">
        <v>808</v>
      </c>
      <c r="G115" s="6" t="s">
        <v>37</v>
      </c>
      <c r="H115" s="6" t="s">
        <v>38</v>
      </c>
      <c r="I115" s="8" t="s">
        <v>173</v>
      </c>
      <c r="J115" s="9">
        <v>1</v>
      </c>
      <c r="K115" s="9">
        <v>142</v>
      </c>
      <c r="L115" s="9">
        <v>2024</v>
      </c>
      <c r="M115" s="8" t="s">
        <v>809</v>
      </c>
      <c r="N115" s="8" t="s">
        <v>41</v>
      </c>
      <c r="O115" s="8" t="s">
        <v>42</v>
      </c>
      <c r="P115" s="6" t="s">
        <v>77</v>
      </c>
      <c r="Q115" s="8" t="s">
        <v>89</v>
      </c>
      <c r="R115" s="10" t="s">
        <v>810</v>
      </c>
      <c r="S115" s="11" t="s">
        <v>811</v>
      </c>
      <c r="T115" s="6"/>
      <c r="U115" s="27" t="str">
        <f>HYPERLINK("https://media.infra-m.ru/2091/2091896/cover/2091896.jpg", "Обложка")</f>
        <v>Обложка</v>
      </c>
      <c r="V115" s="27" t="str">
        <f>HYPERLINK("https://znanium.com/catalog/product/1232491", "Ознакомиться")</f>
        <v>Ознакомиться</v>
      </c>
      <c r="W115" s="8"/>
      <c r="X115" s="6"/>
      <c r="Y115" s="6"/>
      <c r="Z115" s="6"/>
      <c r="AA115" s="6" t="s">
        <v>812</v>
      </c>
    </row>
    <row r="116" spans="1:27" s="4" customFormat="1" ht="51.95" customHeight="1">
      <c r="A116" s="5">
        <v>0</v>
      </c>
      <c r="B116" s="6" t="s">
        <v>813</v>
      </c>
      <c r="C116" s="13">
        <v>174.9</v>
      </c>
      <c r="D116" s="8" t="s">
        <v>814</v>
      </c>
      <c r="E116" s="8" t="s">
        <v>815</v>
      </c>
      <c r="F116" s="8" t="s">
        <v>816</v>
      </c>
      <c r="G116" s="6" t="s">
        <v>53</v>
      </c>
      <c r="H116" s="6" t="s">
        <v>87</v>
      </c>
      <c r="I116" s="8"/>
      <c r="J116" s="9">
        <v>1</v>
      </c>
      <c r="K116" s="9">
        <v>51</v>
      </c>
      <c r="L116" s="9">
        <v>2017</v>
      </c>
      <c r="M116" s="8" t="s">
        <v>817</v>
      </c>
      <c r="N116" s="8" t="s">
        <v>41</v>
      </c>
      <c r="O116" s="8" t="s">
        <v>42</v>
      </c>
      <c r="P116" s="6" t="s">
        <v>77</v>
      </c>
      <c r="Q116" s="8" t="s">
        <v>89</v>
      </c>
      <c r="R116" s="10" t="s">
        <v>810</v>
      </c>
      <c r="S116" s="11" t="s">
        <v>818</v>
      </c>
      <c r="T116" s="6"/>
      <c r="U116" s="27" t="str">
        <f>HYPERLINK("https://media.infra-m.ru/0561/0561134/cover/561134.jpg", "Обложка")</f>
        <v>Обложка</v>
      </c>
      <c r="V116" s="27" t="str">
        <f>HYPERLINK("https://znanium.com/catalog/product/1232491", "Ознакомиться")</f>
        <v>Ознакомиться</v>
      </c>
      <c r="W116" s="8" t="s">
        <v>188</v>
      </c>
      <c r="X116" s="6"/>
      <c r="Y116" s="6"/>
      <c r="Z116" s="6"/>
      <c r="AA116" s="6" t="s">
        <v>208</v>
      </c>
    </row>
    <row r="117" spans="1:27" s="4" customFormat="1" ht="51.95" customHeight="1">
      <c r="A117" s="5">
        <v>0</v>
      </c>
      <c r="B117" s="6" t="s">
        <v>819</v>
      </c>
      <c r="C117" s="13">
        <v>970</v>
      </c>
      <c r="D117" s="8" t="s">
        <v>820</v>
      </c>
      <c r="E117" s="8" t="s">
        <v>821</v>
      </c>
      <c r="F117" s="8" t="s">
        <v>822</v>
      </c>
      <c r="G117" s="6" t="s">
        <v>37</v>
      </c>
      <c r="H117" s="6" t="s">
        <v>38</v>
      </c>
      <c r="I117" s="8" t="s">
        <v>183</v>
      </c>
      <c r="J117" s="9">
        <v>1</v>
      </c>
      <c r="K117" s="9">
        <v>205</v>
      </c>
      <c r="L117" s="9">
        <v>2024</v>
      </c>
      <c r="M117" s="8" t="s">
        <v>823</v>
      </c>
      <c r="N117" s="8" t="s">
        <v>41</v>
      </c>
      <c r="O117" s="8" t="s">
        <v>42</v>
      </c>
      <c r="P117" s="6" t="s">
        <v>77</v>
      </c>
      <c r="Q117" s="8" t="s">
        <v>316</v>
      </c>
      <c r="R117" s="10" t="s">
        <v>824</v>
      </c>
      <c r="S117" s="11" t="s">
        <v>825</v>
      </c>
      <c r="T117" s="6"/>
      <c r="U117" s="27" t="str">
        <f>HYPERLINK("https://media.infra-m.ru/2073/2073475/cover/2073475.jpg", "Обложка")</f>
        <v>Обложка</v>
      </c>
      <c r="V117" s="27" t="str">
        <f>HYPERLINK("https://znanium.com/catalog/product/2073475", "Ознакомиться")</f>
        <v>Ознакомиться</v>
      </c>
      <c r="W117" s="8" t="s">
        <v>826</v>
      </c>
      <c r="X117" s="6"/>
      <c r="Y117" s="6"/>
      <c r="Z117" s="6"/>
      <c r="AA117" s="6" t="s">
        <v>178</v>
      </c>
    </row>
    <row r="118" spans="1:27" s="4" customFormat="1" ht="51.95" customHeight="1">
      <c r="A118" s="5">
        <v>0</v>
      </c>
      <c r="B118" s="6" t="s">
        <v>827</v>
      </c>
      <c r="C118" s="7">
        <v>1724</v>
      </c>
      <c r="D118" s="8" t="s">
        <v>828</v>
      </c>
      <c r="E118" s="8" t="s">
        <v>829</v>
      </c>
      <c r="F118" s="8" t="s">
        <v>830</v>
      </c>
      <c r="G118" s="6" t="s">
        <v>37</v>
      </c>
      <c r="H118" s="6" t="s">
        <v>38</v>
      </c>
      <c r="I118" s="8" t="s">
        <v>183</v>
      </c>
      <c r="J118" s="9">
        <v>1</v>
      </c>
      <c r="K118" s="9">
        <v>376</v>
      </c>
      <c r="L118" s="9">
        <v>2023</v>
      </c>
      <c r="M118" s="8" t="s">
        <v>831</v>
      </c>
      <c r="N118" s="8" t="s">
        <v>56</v>
      </c>
      <c r="O118" s="8" t="s">
        <v>57</v>
      </c>
      <c r="P118" s="6" t="s">
        <v>77</v>
      </c>
      <c r="Q118" s="8" t="s">
        <v>89</v>
      </c>
      <c r="R118" s="10" t="s">
        <v>832</v>
      </c>
      <c r="S118" s="11" t="s">
        <v>833</v>
      </c>
      <c r="T118" s="6"/>
      <c r="U118" s="27" t="str">
        <f>HYPERLINK("https://media.infra-m.ru/2116/2116172/cover/2116172.jpg", "Обложка")</f>
        <v>Обложка</v>
      </c>
      <c r="V118" s="27" t="str">
        <f>HYPERLINK("https://znanium.com/catalog/product/2116171", "Ознакомиться")</f>
        <v>Ознакомиться</v>
      </c>
      <c r="W118" s="8" t="s">
        <v>779</v>
      </c>
      <c r="X118" s="6"/>
      <c r="Y118" s="6"/>
      <c r="Z118" s="6"/>
      <c r="AA118" s="6" t="s">
        <v>834</v>
      </c>
    </row>
    <row r="119" spans="1:27" s="4" customFormat="1" ht="44.1" customHeight="1">
      <c r="A119" s="5">
        <v>0</v>
      </c>
      <c r="B119" s="6" t="s">
        <v>835</v>
      </c>
      <c r="C119" s="13">
        <v>799.9</v>
      </c>
      <c r="D119" s="8" t="s">
        <v>836</v>
      </c>
      <c r="E119" s="8" t="s">
        <v>837</v>
      </c>
      <c r="F119" s="8" t="s">
        <v>838</v>
      </c>
      <c r="G119" s="6" t="s">
        <v>53</v>
      </c>
      <c r="H119" s="6" t="s">
        <v>608</v>
      </c>
      <c r="I119" s="8" t="s">
        <v>839</v>
      </c>
      <c r="J119" s="9">
        <v>30</v>
      </c>
      <c r="K119" s="9">
        <v>111</v>
      </c>
      <c r="L119" s="9">
        <v>2017</v>
      </c>
      <c r="M119" s="8" t="s">
        <v>840</v>
      </c>
      <c r="N119" s="8" t="s">
        <v>41</v>
      </c>
      <c r="O119" s="8" t="s">
        <v>42</v>
      </c>
      <c r="P119" s="6" t="s">
        <v>77</v>
      </c>
      <c r="Q119" s="8" t="s">
        <v>89</v>
      </c>
      <c r="R119" s="10" t="s">
        <v>841</v>
      </c>
      <c r="S119" s="11"/>
      <c r="T119" s="6"/>
      <c r="U119" s="27" t="str">
        <f>HYPERLINK("https://media.infra-m.ru/0495/0495250/cover/495250.jpg", "Обложка")</f>
        <v>Обложка</v>
      </c>
      <c r="V119" s="27" t="str">
        <f>HYPERLINK("https://znanium.com/catalog/product/429250", "Ознакомиться")</f>
        <v>Ознакомиться</v>
      </c>
      <c r="W119" s="8"/>
      <c r="X119" s="6"/>
      <c r="Y119" s="6"/>
      <c r="Z119" s="6"/>
      <c r="AA119" s="6" t="s">
        <v>250</v>
      </c>
    </row>
    <row r="120" spans="1:27" s="4" customFormat="1" ht="44.1" customHeight="1">
      <c r="A120" s="5">
        <v>0</v>
      </c>
      <c r="B120" s="6" t="s">
        <v>842</v>
      </c>
      <c r="C120" s="7">
        <v>1180</v>
      </c>
      <c r="D120" s="8" t="s">
        <v>843</v>
      </c>
      <c r="E120" s="8" t="s">
        <v>844</v>
      </c>
      <c r="F120" s="8" t="s">
        <v>845</v>
      </c>
      <c r="G120" s="6" t="s">
        <v>53</v>
      </c>
      <c r="H120" s="6" t="s">
        <v>38</v>
      </c>
      <c r="I120" s="8" t="s">
        <v>846</v>
      </c>
      <c r="J120" s="9">
        <v>1</v>
      </c>
      <c r="K120" s="9">
        <v>248</v>
      </c>
      <c r="L120" s="9">
        <v>2024</v>
      </c>
      <c r="M120" s="8" t="s">
        <v>847</v>
      </c>
      <c r="N120" s="8" t="s">
        <v>41</v>
      </c>
      <c r="O120" s="8" t="s">
        <v>42</v>
      </c>
      <c r="P120" s="6" t="s">
        <v>58</v>
      </c>
      <c r="Q120" s="8" t="s">
        <v>44</v>
      </c>
      <c r="R120" s="10" t="s">
        <v>848</v>
      </c>
      <c r="S120" s="11"/>
      <c r="T120" s="6"/>
      <c r="U120" s="27" t="str">
        <f>HYPERLINK("https://media.infra-m.ru/2078/2078368/cover/2078368.jpg", "Обложка")</f>
        <v>Обложка</v>
      </c>
      <c r="V120" s="12"/>
      <c r="W120" s="8" t="s">
        <v>849</v>
      </c>
      <c r="X120" s="6"/>
      <c r="Y120" s="6"/>
      <c r="Z120" s="6"/>
      <c r="AA120" s="6" t="s">
        <v>83</v>
      </c>
    </row>
    <row r="121" spans="1:27" s="4" customFormat="1" ht="51.95" customHeight="1">
      <c r="A121" s="5">
        <v>0</v>
      </c>
      <c r="B121" s="6" t="s">
        <v>850</v>
      </c>
      <c r="C121" s="7">
        <v>1920</v>
      </c>
      <c r="D121" s="8" t="s">
        <v>851</v>
      </c>
      <c r="E121" s="8" t="s">
        <v>852</v>
      </c>
      <c r="F121" s="8" t="s">
        <v>853</v>
      </c>
      <c r="G121" s="6" t="s">
        <v>37</v>
      </c>
      <c r="H121" s="6" t="s">
        <v>38</v>
      </c>
      <c r="I121" s="8" t="s">
        <v>173</v>
      </c>
      <c r="J121" s="9">
        <v>1</v>
      </c>
      <c r="K121" s="9">
        <v>427</v>
      </c>
      <c r="L121" s="9">
        <v>2023</v>
      </c>
      <c r="M121" s="8" t="s">
        <v>854</v>
      </c>
      <c r="N121" s="8" t="s">
        <v>56</v>
      </c>
      <c r="O121" s="8" t="s">
        <v>57</v>
      </c>
      <c r="P121" s="6" t="s">
        <v>77</v>
      </c>
      <c r="Q121" s="8" t="s">
        <v>89</v>
      </c>
      <c r="R121" s="10" t="s">
        <v>855</v>
      </c>
      <c r="S121" s="11" t="s">
        <v>856</v>
      </c>
      <c r="T121" s="6"/>
      <c r="U121" s="27" t="str">
        <f>HYPERLINK("https://media.infra-m.ru/1897/1897713/cover/1897713.jpg", "Обложка")</f>
        <v>Обложка</v>
      </c>
      <c r="V121" s="27" t="str">
        <f>HYPERLINK("https://znanium.com/catalog/product/1897713", "Ознакомиться")</f>
        <v>Ознакомиться</v>
      </c>
      <c r="W121" s="8" t="s">
        <v>638</v>
      </c>
      <c r="X121" s="6"/>
      <c r="Y121" s="6"/>
      <c r="Z121" s="6"/>
      <c r="AA121" s="6" t="s">
        <v>543</v>
      </c>
    </row>
    <row r="122" spans="1:27" s="4" customFormat="1" ht="51.95" customHeight="1">
      <c r="A122" s="5">
        <v>0</v>
      </c>
      <c r="B122" s="6" t="s">
        <v>857</v>
      </c>
      <c r="C122" s="7">
        <v>1514.9</v>
      </c>
      <c r="D122" s="8" t="s">
        <v>858</v>
      </c>
      <c r="E122" s="8" t="s">
        <v>859</v>
      </c>
      <c r="F122" s="8" t="s">
        <v>860</v>
      </c>
      <c r="G122" s="6" t="s">
        <v>165</v>
      </c>
      <c r="H122" s="6" t="s">
        <v>861</v>
      </c>
      <c r="I122" s="8"/>
      <c r="J122" s="9">
        <v>1</v>
      </c>
      <c r="K122" s="9">
        <v>336</v>
      </c>
      <c r="L122" s="9">
        <v>2023</v>
      </c>
      <c r="M122" s="8" t="s">
        <v>862</v>
      </c>
      <c r="N122" s="8" t="s">
        <v>56</v>
      </c>
      <c r="O122" s="8" t="s">
        <v>57</v>
      </c>
      <c r="P122" s="6" t="s">
        <v>150</v>
      </c>
      <c r="Q122" s="8" t="s">
        <v>89</v>
      </c>
      <c r="R122" s="10" t="s">
        <v>863</v>
      </c>
      <c r="S122" s="11" t="s">
        <v>864</v>
      </c>
      <c r="T122" s="6"/>
      <c r="U122" s="27" t="str">
        <f>HYPERLINK("https://media.infra-m.ru/1904/1904736/cover/1904736.jpg", "Обложка")</f>
        <v>Обложка</v>
      </c>
      <c r="V122" s="27" t="str">
        <f>HYPERLINK("https://znanium.com/catalog/product/1941722", "Ознакомиться")</f>
        <v>Ознакомиться</v>
      </c>
      <c r="W122" s="8" t="s">
        <v>865</v>
      </c>
      <c r="X122" s="6"/>
      <c r="Y122" s="6"/>
      <c r="Z122" s="6"/>
      <c r="AA122" s="6" t="s">
        <v>866</v>
      </c>
    </row>
    <row r="123" spans="1:27" s="4" customFormat="1" ht="51.95" customHeight="1">
      <c r="A123" s="5">
        <v>0</v>
      </c>
      <c r="B123" s="6" t="s">
        <v>867</v>
      </c>
      <c r="C123" s="7">
        <v>1360</v>
      </c>
      <c r="D123" s="8" t="s">
        <v>868</v>
      </c>
      <c r="E123" s="8" t="s">
        <v>869</v>
      </c>
      <c r="F123" s="8" t="s">
        <v>870</v>
      </c>
      <c r="G123" s="6" t="s">
        <v>37</v>
      </c>
      <c r="H123" s="6" t="s">
        <v>38</v>
      </c>
      <c r="I123" s="8" t="s">
        <v>183</v>
      </c>
      <c r="J123" s="9">
        <v>1</v>
      </c>
      <c r="K123" s="9">
        <v>289</v>
      </c>
      <c r="L123" s="9">
        <v>2023</v>
      </c>
      <c r="M123" s="8" t="s">
        <v>871</v>
      </c>
      <c r="N123" s="8" t="s">
        <v>56</v>
      </c>
      <c r="O123" s="8" t="s">
        <v>57</v>
      </c>
      <c r="P123" s="6" t="s">
        <v>150</v>
      </c>
      <c r="Q123" s="8" t="s">
        <v>316</v>
      </c>
      <c r="R123" s="10" t="s">
        <v>872</v>
      </c>
      <c r="S123" s="11" t="s">
        <v>873</v>
      </c>
      <c r="T123" s="6"/>
      <c r="U123" s="27" t="str">
        <f>HYPERLINK("https://media.infra-m.ru/2012/2012672/cover/2012672.jpg", "Обложка")</f>
        <v>Обложка</v>
      </c>
      <c r="V123" s="27" t="str">
        <f>HYPERLINK("https://znanium.com/catalog/product/1913995", "Ознакомиться")</f>
        <v>Ознакомиться</v>
      </c>
      <c r="W123" s="8" t="s">
        <v>874</v>
      </c>
      <c r="X123" s="6"/>
      <c r="Y123" s="6"/>
      <c r="Z123" s="6"/>
      <c r="AA123" s="6" t="s">
        <v>580</v>
      </c>
    </row>
    <row r="124" spans="1:27" s="4" customFormat="1" ht="51.95" customHeight="1">
      <c r="A124" s="5">
        <v>0</v>
      </c>
      <c r="B124" s="6" t="s">
        <v>875</v>
      </c>
      <c r="C124" s="13">
        <v>890</v>
      </c>
      <c r="D124" s="8" t="s">
        <v>876</v>
      </c>
      <c r="E124" s="8" t="s">
        <v>877</v>
      </c>
      <c r="F124" s="8" t="s">
        <v>870</v>
      </c>
      <c r="G124" s="6" t="s">
        <v>165</v>
      </c>
      <c r="H124" s="6" t="s">
        <v>878</v>
      </c>
      <c r="I124" s="8" t="s">
        <v>183</v>
      </c>
      <c r="J124" s="9">
        <v>1</v>
      </c>
      <c r="K124" s="9">
        <v>304</v>
      </c>
      <c r="L124" s="9">
        <v>2018</v>
      </c>
      <c r="M124" s="8" t="s">
        <v>879</v>
      </c>
      <c r="N124" s="8" t="s">
        <v>56</v>
      </c>
      <c r="O124" s="8" t="s">
        <v>57</v>
      </c>
      <c r="P124" s="6" t="s">
        <v>150</v>
      </c>
      <c r="Q124" s="8" t="s">
        <v>89</v>
      </c>
      <c r="R124" s="10" t="s">
        <v>872</v>
      </c>
      <c r="S124" s="11" t="s">
        <v>880</v>
      </c>
      <c r="T124" s="6"/>
      <c r="U124" s="27" t="str">
        <f>HYPERLINK("https://media.infra-m.ru/0942/0942783/cover/942783.jpg", "Обложка")</f>
        <v>Обложка</v>
      </c>
      <c r="V124" s="27" t="str">
        <f>HYPERLINK("https://znanium.com/catalog/product/1913995", "Ознакомиться")</f>
        <v>Ознакомиться</v>
      </c>
      <c r="W124" s="8" t="s">
        <v>874</v>
      </c>
      <c r="X124" s="6"/>
      <c r="Y124" s="6"/>
      <c r="Z124" s="6"/>
      <c r="AA124" s="6" t="s">
        <v>881</v>
      </c>
    </row>
    <row r="125" spans="1:27" s="4" customFormat="1" ht="51.95" customHeight="1">
      <c r="A125" s="5">
        <v>0</v>
      </c>
      <c r="B125" s="6" t="s">
        <v>882</v>
      </c>
      <c r="C125" s="7">
        <v>1350</v>
      </c>
      <c r="D125" s="8" t="s">
        <v>883</v>
      </c>
      <c r="E125" s="8" t="s">
        <v>884</v>
      </c>
      <c r="F125" s="8" t="s">
        <v>885</v>
      </c>
      <c r="G125" s="6" t="s">
        <v>37</v>
      </c>
      <c r="H125" s="6" t="s">
        <v>38</v>
      </c>
      <c r="I125" s="8" t="s">
        <v>173</v>
      </c>
      <c r="J125" s="9">
        <v>1</v>
      </c>
      <c r="K125" s="9">
        <v>301</v>
      </c>
      <c r="L125" s="9">
        <v>2021</v>
      </c>
      <c r="M125" s="8" t="s">
        <v>886</v>
      </c>
      <c r="N125" s="8" t="s">
        <v>56</v>
      </c>
      <c r="O125" s="8" t="s">
        <v>57</v>
      </c>
      <c r="P125" s="6" t="s">
        <v>150</v>
      </c>
      <c r="Q125" s="8" t="s">
        <v>89</v>
      </c>
      <c r="R125" s="10" t="s">
        <v>887</v>
      </c>
      <c r="S125" s="11" t="s">
        <v>888</v>
      </c>
      <c r="T125" s="6"/>
      <c r="U125" s="27" t="str">
        <f>HYPERLINK("https://media.infra-m.ru/1950/1950299/cover/1950299.jpg", "Обложка")</f>
        <v>Обложка</v>
      </c>
      <c r="V125" s="27" t="str">
        <f>HYPERLINK("https://znanium.com/catalog/product/1891836", "Ознакомиться")</f>
        <v>Ознакомиться</v>
      </c>
      <c r="W125" s="8" t="s">
        <v>228</v>
      </c>
      <c r="X125" s="6"/>
      <c r="Y125" s="6"/>
      <c r="Z125" s="6"/>
      <c r="AA125" s="6" t="s">
        <v>889</v>
      </c>
    </row>
    <row r="126" spans="1:27" s="4" customFormat="1" ht="51.95" customHeight="1">
      <c r="A126" s="5">
        <v>0</v>
      </c>
      <c r="B126" s="6" t="s">
        <v>890</v>
      </c>
      <c r="C126" s="13">
        <v>448</v>
      </c>
      <c r="D126" s="8" t="s">
        <v>891</v>
      </c>
      <c r="E126" s="8" t="s">
        <v>884</v>
      </c>
      <c r="F126" s="8" t="s">
        <v>892</v>
      </c>
      <c r="G126" s="6" t="s">
        <v>53</v>
      </c>
      <c r="H126" s="6" t="s">
        <v>608</v>
      </c>
      <c r="I126" s="8" t="s">
        <v>893</v>
      </c>
      <c r="J126" s="9">
        <v>1</v>
      </c>
      <c r="K126" s="9">
        <v>141</v>
      </c>
      <c r="L126" s="9">
        <v>2023</v>
      </c>
      <c r="M126" s="8" t="s">
        <v>894</v>
      </c>
      <c r="N126" s="8" t="s">
        <v>56</v>
      </c>
      <c r="O126" s="8" t="s">
        <v>57</v>
      </c>
      <c r="P126" s="6" t="s">
        <v>77</v>
      </c>
      <c r="Q126" s="8" t="s">
        <v>89</v>
      </c>
      <c r="R126" s="10" t="s">
        <v>895</v>
      </c>
      <c r="S126" s="11"/>
      <c r="T126" s="6"/>
      <c r="U126" s="27" t="str">
        <f>HYPERLINK("https://media.infra-m.ru/1971/1971830/cover/1971830.jpg", "Обложка")</f>
        <v>Обложка</v>
      </c>
      <c r="V126" s="27" t="str">
        <f>HYPERLINK("https://znanium.com/catalog/product/1815598", "Ознакомиться")</f>
        <v>Ознакомиться</v>
      </c>
      <c r="W126" s="8" t="s">
        <v>896</v>
      </c>
      <c r="X126" s="6"/>
      <c r="Y126" s="6"/>
      <c r="Z126" s="6"/>
      <c r="AA126" s="6" t="s">
        <v>897</v>
      </c>
    </row>
    <row r="127" spans="1:27" s="4" customFormat="1" ht="51.95" customHeight="1">
      <c r="A127" s="5">
        <v>0</v>
      </c>
      <c r="B127" s="6" t="s">
        <v>898</v>
      </c>
      <c r="C127" s="13">
        <v>620</v>
      </c>
      <c r="D127" s="8" t="s">
        <v>899</v>
      </c>
      <c r="E127" s="8" t="s">
        <v>900</v>
      </c>
      <c r="F127" s="8" t="s">
        <v>901</v>
      </c>
      <c r="G127" s="6" t="s">
        <v>53</v>
      </c>
      <c r="H127" s="6" t="s">
        <v>38</v>
      </c>
      <c r="I127" s="8" t="s">
        <v>75</v>
      </c>
      <c r="J127" s="9">
        <v>1</v>
      </c>
      <c r="K127" s="9">
        <v>128</v>
      </c>
      <c r="L127" s="9">
        <v>2024</v>
      </c>
      <c r="M127" s="8" t="s">
        <v>902</v>
      </c>
      <c r="N127" s="8" t="s">
        <v>41</v>
      </c>
      <c r="O127" s="8" t="s">
        <v>42</v>
      </c>
      <c r="P127" s="6" t="s">
        <v>43</v>
      </c>
      <c r="Q127" s="8" t="s">
        <v>78</v>
      </c>
      <c r="R127" s="10" t="s">
        <v>276</v>
      </c>
      <c r="S127" s="11" t="s">
        <v>80</v>
      </c>
      <c r="T127" s="6"/>
      <c r="U127" s="27" t="str">
        <f>HYPERLINK("https://media.infra-m.ru/2080/2080235/cover/2080235.jpg", "Обложка")</f>
        <v>Обложка</v>
      </c>
      <c r="V127" s="27" t="str">
        <f>HYPERLINK("https://znanium.com/catalog/product/2080235", "Ознакомиться")</f>
        <v>Ознакомиться</v>
      </c>
      <c r="W127" s="8" t="s">
        <v>562</v>
      </c>
      <c r="X127" s="6"/>
      <c r="Y127" s="6"/>
      <c r="Z127" s="6" t="s">
        <v>903</v>
      </c>
      <c r="AA127" s="6" t="s">
        <v>904</v>
      </c>
    </row>
    <row r="128" spans="1:27" s="4" customFormat="1" ht="44.1" customHeight="1">
      <c r="A128" s="5">
        <v>0</v>
      </c>
      <c r="B128" s="6" t="s">
        <v>905</v>
      </c>
      <c r="C128" s="13">
        <v>574.9</v>
      </c>
      <c r="D128" s="8" t="s">
        <v>906</v>
      </c>
      <c r="E128" s="8" t="s">
        <v>900</v>
      </c>
      <c r="F128" s="8" t="s">
        <v>901</v>
      </c>
      <c r="G128" s="6" t="s">
        <v>53</v>
      </c>
      <c r="H128" s="6" t="s">
        <v>38</v>
      </c>
      <c r="I128" s="8" t="s">
        <v>39</v>
      </c>
      <c r="J128" s="9">
        <v>1</v>
      </c>
      <c r="K128" s="9">
        <v>128</v>
      </c>
      <c r="L128" s="9">
        <v>2023</v>
      </c>
      <c r="M128" s="8" t="s">
        <v>907</v>
      </c>
      <c r="N128" s="8" t="s">
        <v>41</v>
      </c>
      <c r="O128" s="8" t="s">
        <v>42</v>
      </c>
      <c r="P128" s="6" t="s">
        <v>43</v>
      </c>
      <c r="Q128" s="8" t="s">
        <v>908</v>
      </c>
      <c r="R128" s="10" t="s">
        <v>909</v>
      </c>
      <c r="S128" s="11"/>
      <c r="T128" s="6"/>
      <c r="U128" s="27" t="str">
        <f>HYPERLINK("https://media.infra-m.ru/1911/1911217/cover/1911217.jpg", "Обложка")</f>
        <v>Обложка</v>
      </c>
      <c r="V128" s="27" t="str">
        <f>HYPERLINK("https://znanium.com/catalog/product/2123886", "Ознакомиться")</f>
        <v>Ознакомиться</v>
      </c>
      <c r="W128" s="8" t="s">
        <v>562</v>
      </c>
      <c r="X128" s="6"/>
      <c r="Y128" s="6"/>
      <c r="Z128" s="6"/>
      <c r="AA128" s="6" t="s">
        <v>910</v>
      </c>
    </row>
    <row r="129" spans="1:27" s="4" customFormat="1" ht="51.95" customHeight="1">
      <c r="A129" s="5">
        <v>0</v>
      </c>
      <c r="B129" s="6" t="s">
        <v>911</v>
      </c>
      <c r="C129" s="7">
        <v>1390</v>
      </c>
      <c r="D129" s="8" t="s">
        <v>912</v>
      </c>
      <c r="E129" s="8" t="s">
        <v>913</v>
      </c>
      <c r="F129" s="8" t="s">
        <v>914</v>
      </c>
      <c r="G129" s="6" t="s">
        <v>37</v>
      </c>
      <c r="H129" s="6" t="s">
        <v>38</v>
      </c>
      <c r="I129" s="8" t="s">
        <v>75</v>
      </c>
      <c r="J129" s="9">
        <v>1</v>
      </c>
      <c r="K129" s="9">
        <v>308</v>
      </c>
      <c r="L129" s="9">
        <v>2023</v>
      </c>
      <c r="M129" s="8" t="s">
        <v>915</v>
      </c>
      <c r="N129" s="8" t="s">
        <v>41</v>
      </c>
      <c r="O129" s="8" t="s">
        <v>42</v>
      </c>
      <c r="P129" s="6" t="s">
        <v>77</v>
      </c>
      <c r="Q129" s="8" t="s">
        <v>78</v>
      </c>
      <c r="R129" s="10" t="s">
        <v>642</v>
      </c>
      <c r="S129" s="11" t="s">
        <v>916</v>
      </c>
      <c r="T129" s="6"/>
      <c r="U129" s="27" t="str">
        <f>HYPERLINK("https://media.infra-m.ru/1972/1972643/cover/1972643.jpg", "Обложка")</f>
        <v>Обложка</v>
      </c>
      <c r="V129" s="12"/>
      <c r="W129" s="8" t="s">
        <v>917</v>
      </c>
      <c r="X129" s="6"/>
      <c r="Y129" s="6"/>
      <c r="Z129" s="6" t="s">
        <v>579</v>
      </c>
      <c r="AA129" s="6" t="s">
        <v>178</v>
      </c>
    </row>
    <row r="130" spans="1:27" s="4" customFormat="1" ht="51.95" customHeight="1">
      <c r="A130" s="5">
        <v>0</v>
      </c>
      <c r="B130" s="6" t="s">
        <v>918</v>
      </c>
      <c r="C130" s="7">
        <v>1420</v>
      </c>
      <c r="D130" s="8" t="s">
        <v>919</v>
      </c>
      <c r="E130" s="8" t="s">
        <v>913</v>
      </c>
      <c r="F130" s="8" t="s">
        <v>914</v>
      </c>
      <c r="G130" s="6" t="s">
        <v>37</v>
      </c>
      <c r="H130" s="6" t="s">
        <v>38</v>
      </c>
      <c r="I130" s="8" t="s">
        <v>183</v>
      </c>
      <c r="J130" s="9">
        <v>1</v>
      </c>
      <c r="K130" s="9">
        <v>308</v>
      </c>
      <c r="L130" s="9">
        <v>2024</v>
      </c>
      <c r="M130" s="8" t="s">
        <v>920</v>
      </c>
      <c r="N130" s="8" t="s">
        <v>41</v>
      </c>
      <c r="O130" s="8" t="s">
        <v>42</v>
      </c>
      <c r="P130" s="6" t="s">
        <v>77</v>
      </c>
      <c r="Q130" s="8" t="s">
        <v>316</v>
      </c>
      <c r="R130" s="10" t="s">
        <v>442</v>
      </c>
      <c r="S130" s="11" t="s">
        <v>921</v>
      </c>
      <c r="T130" s="6"/>
      <c r="U130" s="27" t="str">
        <f>HYPERLINK("https://media.infra-m.ru/2080/2080477/cover/2080477.jpg", "Обложка")</f>
        <v>Обложка</v>
      </c>
      <c r="V130" s="27" t="str">
        <f>HYPERLINK("https://znanium.com/catalog/product/2080477", "Ознакомиться")</f>
        <v>Ознакомиться</v>
      </c>
      <c r="W130" s="8" t="s">
        <v>917</v>
      </c>
      <c r="X130" s="6"/>
      <c r="Y130" s="6"/>
      <c r="Z130" s="6" t="s">
        <v>922</v>
      </c>
      <c r="AA130" s="6" t="s">
        <v>128</v>
      </c>
    </row>
    <row r="131" spans="1:27" s="4" customFormat="1" ht="42" customHeight="1">
      <c r="A131" s="5">
        <v>0</v>
      </c>
      <c r="B131" s="6" t="s">
        <v>923</v>
      </c>
      <c r="C131" s="7">
        <v>1420</v>
      </c>
      <c r="D131" s="8" t="s">
        <v>924</v>
      </c>
      <c r="E131" s="8" t="s">
        <v>913</v>
      </c>
      <c r="F131" s="8" t="s">
        <v>914</v>
      </c>
      <c r="G131" s="6" t="s">
        <v>37</v>
      </c>
      <c r="H131" s="6" t="s">
        <v>38</v>
      </c>
      <c r="I131" s="8" t="s">
        <v>39</v>
      </c>
      <c r="J131" s="9">
        <v>1</v>
      </c>
      <c r="K131" s="9">
        <v>308</v>
      </c>
      <c r="L131" s="9">
        <v>2024</v>
      </c>
      <c r="M131" s="8" t="s">
        <v>925</v>
      </c>
      <c r="N131" s="8" t="s">
        <v>41</v>
      </c>
      <c r="O131" s="8" t="s">
        <v>42</v>
      </c>
      <c r="P131" s="6" t="s">
        <v>77</v>
      </c>
      <c r="Q131" s="8" t="s">
        <v>316</v>
      </c>
      <c r="R131" s="10" t="s">
        <v>926</v>
      </c>
      <c r="S131" s="11"/>
      <c r="T131" s="6"/>
      <c r="U131" s="27" t="str">
        <f>HYPERLINK("https://media.infra-m.ru/2084/2084499/cover/2084499.jpg", "Обложка")</f>
        <v>Обложка</v>
      </c>
      <c r="V131" s="27" t="str">
        <f>HYPERLINK("https://znanium.com/catalog/product/2084499", "Ознакомиться")</f>
        <v>Ознакомиться</v>
      </c>
      <c r="W131" s="8" t="s">
        <v>917</v>
      </c>
      <c r="X131" s="6"/>
      <c r="Y131" s="6"/>
      <c r="Z131" s="6"/>
      <c r="AA131" s="6" t="s">
        <v>128</v>
      </c>
    </row>
    <row r="132" spans="1:27" s="4" customFormat="1" ht="42" customHeight="1">
      <c r="A132" s="5">
        <v>0</v>
      </c>
      <c r="B132" s="6" t="s">
        <v>927</v>
      </c>
      <c r="C132" s="7">
        <v>1254</v>
      </c>
      <c r="D132" s="8" t="s">
        <v>928</v>
      </c>
      <c r="E132" s="8" t="s">
        <v>929</v>
      </c>
      <c r="F132" s="8" t="s">
        <v>930</v>
      </c>
      <c r="G132" s="6" t="s">
        <v>165</v>
      </c>
      <c r="H132" s="6" t="s">
        <v>87</v>
      </c>
      <c r="I132" s="8"/>
      <c r="J132" s="9">
        <v>1</v>
      </c>
      <c r="K132" s="9">
        <v>272</v>
      </c>
      <c r="L132" s="9">
        <v>2023</v>
      </c>
      <c r="M132" s="8" t="s">
        <v>931</v>
      </c>
      <c r="N132" s="8" t="s">
        <v>41</v>
      </c>
      <c r="O132" s="8" t="s">
        <v>42</v>
      </c>
      <c r="P132" s="6" t="s">
        <v>185</v>
      </c>
      <c r="Q132" s="8" t="s">
        <v>89</v>
      </c>
      <c r="R132" s="10" t="s">
        <v>932</v>
      </c>
      <c r="S132" s="11"/>
      <c r="T132" s="6"/>
      <c r="U132" s="27" t="str">
        <f>HYPERLINK("https://media.infra-m.ru/1996/1996323/cover/1996323.jpg", "Обложка")</f>
        <v>Обложка</v>
      </c>
      <c r="V132" s="12"/>
      <c r="W132" s="8" t="s">
        <v>779</v>
      </c>
      <c r="X132" s="6"/>
      <c r="Y132" s="6"/>
      <c r="Z132" s="6"/>
      <c r="AA132" s="6" t="s">
        <v>250</v>
      </c>
    </row>
    <row r="133" spans="1:27" s="4" customFormat="1" ht="51.95" customHeight="1">
      <c r="A133" s="5">
        <v>0</v>
      </c>
      <c r="B133" s="6" t="s">
        <v>933</v>
      </c>
      <c r="C133" s="13">
        <v>643</v>
      </c>
      <c r="D133" s="8" t="s">
        <v>934</v>
      </c>
      <c r="E133" s="8" t="s">
        <v>935</v>
      </c>
      <c r="F133" s="8" t="s">
        <v>936</v>
      </c>
      <c r="G133" s="6" t="s">
        <v>53</v>
      </c>
      <c r="H133" s="6" t="s">
        <v>38</v>
      </c>
      <c r="I133" s="8" t="s">
        <v>937</v>
      </c>
      <c r="J133" s="9">
        <v>1</v>
      </c>
      <c r="K133" s="9">
        <v>206</v>
      </c>
      <c r="L133" s="9">
        <v>2024</v>
      </c>
      <c r="M133" s="8" t="s">
        <v>938</v>
      </c>
      <c r="N133" s="8" t="s">
        <v>41</v>
      </c>
      <c r="O133" s="8" t="s">
        <v>42</v>
      </c>
      <c r="P133" s="6" t="s">
        <v>939</v>
      </c>
      <c r="Q133" s="8" t="s">
        <v>308</v>
      </c>
      <c r="R133" s="10" t="s">
        <v>940</v>
      </c>
      <c r="S133" s="11"/>
      <c r="T133" s="6"/>
      <c r="U133" s="27" t="str">
        <f>HYPERLINK("https://media.infra-m.ru/2094/2094494/cover/2094494.jpg", "Обложка")</f>
        <v>Обложка</v>
      </c>
      <c r="V133" s="27" t="str">
        <f>HYPERLINK("https://znanium.com/catalog/product/2094494", "Ознакомиться")</f>
        <v>Ознакомиться</v>
      </c>
      <c r="W133" s="8" t="s">
        <v>941</v>
      </c>
      <c r="X133" s="6"/>
      <c r="Y133" s="6"/>
      <c r="Z133" s="6"/>
      <c r="AA133" s="6" t="s">
        <v>109</v>
      </c>
    </row>
    <row r="134" spans="1:27" s="4" customFormat="1" ht="51.95" customHeight="1">
      <c r="A134" s="5">
        <v>0</v>
      </c>
      <c r="B134" s="6" t="s">
        <v>942</v>
      </c>
      <c r="C134" s="7">
        <v>1550</v>
      </c>
      <c r="D134" s="8" t="s">
        <v>943</v>
      </c>
      <c r="E134" s="8" t="s">
        <v>944</v>
      </c>
      <c r="F134" s="8" t="s">
        <v>321</v>
      </c>
      <c r="G134" s="6" t="s">
        <v>37</v>
      </c>
      <c r="H134" s="6" t="s">
        <v>38</v>
      </c>
      <c r="I134" s="8" t="s">
        <v>75</v>
      </c>
      <c r="J134" s="9">
        <v>1</v>
      </c>
      <c r="K134" s="9">
        <v>345</v>
      </c>
      <c r="L134" s="9">
        <v>2023</v>
      </c>
      <c r="M134" s="8" t="s">
        <v>945</v>
      </c>
      <c r="N134" s="8" t="s">
        <v>41</v>
      </c>
      <c r="O134" s="8" t="s">
        <v>42</v>
      </c>
      <c r="P134" s="6" t="s">
        <v>185</v>
      </c>
      <c r="Q134" s="8" t="s">
        <v>78</v>
      </c>
      <c r="R134" s="10" t="s">
        <v>946</v>
      </c>
      <c r="S134" s="11" t="s">
        <v>947</v>
      </c>
      <c r="T134" s="6"/>
      <c r="U134" s="27" t="str">
        <f>HYPERLINK("https://media.infra-m.ru/1923/1923203/cover/1923203.jpg", "Обложка")</f>
        <v>Обложка</v>
      </c>
      <c r="V134" s="27" t="str">
        <f>HYPERLINK("https://znanium.com/catalog/product/1923203", "Ознакомиться")</f>
        <v>Ознакомиться</v>
      </c>
      <c r="W134" s="8" t="s">
        <v>325</v>
      </c>
      <c r="X134" s="6"/>
      <c r="Y134" s="6"/>
      <c r="Z134" s="6"/>
      <c r="AA134" s="6" t="s">
        <v>136</v>
      </c>
    </row>
    <row r="135" spans="1:27" s="4" customFormat="1" ht="51.95" customHeight="1">
      <c r="A135" s="5">
        <v>0</v>
      </c>
      <c r="B135" s="6" t="s">
        <v>948</v>
      </c>
      <c r="C135" s="13">
        <v>404</v>
      </c>
      <c r="D135" s="8" t="s">
        <v>949</v>
      </c>
      <c r="E135" s="8" t="s">
        <v>950</v>
      </c>
      <c r="F135" s="8" t="s">
        <v>951</v>
      </c>
      <c r="G135" s="6" t="s">
        <v>53</v>
      </c>
      <c r="H135" s="6" t="s">
        <v>87</v>
      </c>
      <c r="I135" s="8" t="s">
        <v>609</v>
      </c>
      <c r="J135" s="9">
        <v>1</v>
      </c>
      <c r="K135" s="9">
        <v>88</v>
      </c>
      <c r="L135" s="9">
        <v>2023</v>
      </c>
      <c r="M135" s="8" t="s">
        <v>952</v>
      </c>
      <c r="N135" s="8" t="s">
        <v>41</v>
      </c>
      <c r="O135" s="8" t="s">
        <v>42</v>
      </c>
      <c r="P135" s="6" t="s">
        <v>77</v>
      </c>
      <c r="Q135" s="8" t="s">
        <v>78</v>
      </c>
      <c r="R135" s="10" t="s">
        <v>953</v>
      </c>
      <c r="S135" s="11" t="s">
        <v>954</v>
      </c>
      <c r="T135" s="6"/>
      <c r="U135" s="27" t="str">
        <f>HYPERLINK("https://media.infra-m.ru/2015/2015264/cover/2015264.jpg", "Обложка")</f>
        <v>Обложка</v>
      </c>
      <c r="V135" s="27" t="str">
        <f>HYPERLINK("https://znanium.com/catalog/product/2012664", "Ознакомиться")</f>
        <v>Ознакомиться</v>
      </c>
      <c r="W135" s="8" t="s">
        <v>955</v>
      </c>
      <c r="X135" s="6"/>
      <c r="Y135" s="6"/>
      <c r="Z135" s="6"/>
      <c r="AA135" s="6" t="s">
        <v>92</v>
      </c>
    </row>
    <row r="136" spans="1:27" s="4" customFormat="1" ht="42" customHeight="1">
      <c r="A136" s="5">
        <v>0</v>
      </c>
      <c r="B136" s="6" t="s">
        <v>956</v>
      </c>
      <c r="C136" s="7">
        <v>1390</v>
      </c>
      <c r="D136" s="8" t="s">
        <v>957</v>
      </c>
      <c r="E136" s="8" t="s">
        <v>958</v>
      </c>
      <c r="F136" s="8" t="s">
        <v>959</v>
      </c>
      <c r="G136" s="6" t="s">
        <v>37</v>
      </c>
      <c r="H136" s="6" t="s">
        <v>608</v>
      </c>
      <c r="I136" s="8" t="s">
        <v>122</v>
      </c>
      <c r="J136" s="9">
        <v>1</v>
      </c>
      <c r="K136" s="9">
        <v>302</v>
      </c>
      <c r="L136" s="9">
        <v>2024</v>
      </c>
      <c r="M136" s="8" t="s">
        <v>960</v>
      </c>
      <c r="N136" s="8" t="s">
        <v>41</v>
      </c>
      <c r="O136" s="8" t="s">
        <v>42</v>
      </c>
      <c r="P136" s="6" t="s">
        <v>77</v>
      </c>
      <c r="Q136" s="8" t="s">
        <v>961</v>
      </c>
      <c r="R136" s="10" t="s">
        <v>962</v>
      </c>
      <c r="S136" s="11"/>
      <c r="T136" s="6"/>
      <c r="U136" s="27" t="str">
        <f>HYPERLINK("https://media.infra-m.ru/2074/2074328/cover/2074328.jpg", "Обложка")</f>
        <v>Обложка</v>
      </c>
      <c r="V136" s="27" t="str">
        <f>HYPERLINK("https://znanium.com/catalog/product/2074328", "Ознакомиться")</f>
        <v>Ознакомиться</v>
      </c>
      <c r="W136" s="8" t="s">
        <v>963</v>
      </c>
      <c r="X136" s="6"/>
      <c r="Y136" s="6"/>
      <c r="Z136" s="6"/>
      <c r="AA136" s="6" t="s">
        <v>48</v>
      </c>
    </row>
    <row r="137" spans="1:27" s="4" customFormat="1" ht="44.1" customHeight="1">
      <c r="A137" s="5">
        <v>0</v>
      </c>
      <c r="B137" s="6" t="s">
        <v>964</v>
      </c>
      <c r="C137" s="13">
        <v>930</v>
      </c>
      <c r="D137" s="8" t="s">
        <v>965</v>
      </c>
      <c r="E137" s="8" t="s">
        <v>966</v>
      </c>
      <c r="F137" s="8" t="s">
        <v>967</v>
      </c>
      <c r="G137" s="6" t="s">
        <v>37</v>
      </c>
      <c r="H137" s="6" t="s">
        <v>608</v>
      </c>
      <c r="I137" s="8" t="s">
        <v>54</v>
      </c>
      <c r="J137" s="9">
        <v>1</v>
      </c>
      <c r="K137" s="9">
        <v>220</v>
      </c>
      <c r="L137" s="9">
        <v>2022</v>
      </c>
      <c r="M137" s="8" t="s">
        <v>968</v>
      </c>
      <c r="N137" s="8" t="s">
        <v>56</v>
      </c>
      <c r="O137" s="8" t="s">
        <v>57</v>
      </c>
      <c r="P137" s="6" t="s">
        <v>58</v>
      </c>
      <c r="Q137" s="8" t="s">
        <v>44</v>
      </c>
      <c r="R137" s="10" t="s">
        <v>969</v>
      </c>
      <c r="S137" s="11"/>
      <c r="T137" s="6"/>
      <c r="U137" s="27" t="str">
        <f>HYPERLINK("https://media.infra-m.ru/1878/1878664/cover/1878664.jpg", "Обложка")</f>
        <v>Обложка</v>
      </c>
      <c r="V137" s="12"/>
      <c r="W137" s="8" t="s">
        <v>970</v>
      </c>
      <c r="X137" s="6"/>
      <c r="Y137" s="6"/>
      <c r="Z137" s="6"/>
      <c r="AA137" s="6" t="s">
        <v>178</v>
      </c>
    </row>
    <row r="138" spans="1:27" s="4" customFormat="1" ht="51.95" customHeight="1">
      <c r="A138" s="5">
        <v>0</v>
      </c>
      <c r="B138" s="6" t="s">
        <v>971</v>
      </c>
      <c r="C138" s="7">
        <v>1440</v>
      </c>
      <c r="D138" s="8" t="s">
        <v>972</v>
      </c>
      <c r="E138" s="8" t="s">
        <v>973</v>
      </c>
      <c r="F138" s="8" t="s">
        <v>974</v>
      </c>
      <c r="G138" s="6" t="s">
        <v>37</v>
      </c>
      <c r="H138" s="6" t="s">
        <v>38</v>
      </c>
      <c r="I138" s="8" t="s">
        <v>617</v>
      </c>
      <c r="J138" s="9">
        <v>1</v>
      </c>
      <c r="K138" s="9">
        <v>312</v>
      </c>
      <c r="L138" s="9">
        <v>2024</v>
      </c>
      <c r="M138" s="8" t="s">
        <v>975</v>
      </c>
      <c r="N138" s="8" t="s">
        <v>41</v>
      </c>
      <c r="O138" s="8" t="s">
        <v>42</v>
      </c>
      <c r="P138" s="6" t="s">
        <v>77</v>
      </c>
      <c r="Q138" s="8" t="s">
        <v>961</v>
      </c>
      <c r="R138" s="10" t="s">
        <v>976</v>
      </c>
      <c r="S138" s="11"/>
      <c r="T138" s="6"/>
      <c r="U138" s="27" t="str">
        <f>HYPERLINK("https://media.infra-m.ru/2110/2110932/cover/2110932.jpg", "Обложка")</f>
        <v>Обложка</v>
      </c>
      <c r="V138" s="27" t="str">
        <f>HYPERLINK("https://znanium.com/catalog/product/2110932", "Ознакомиться")</f>
        <v>Ознакомиться</v>
      </c>
      <c r="W138" s="8" t="s">
        <v>977</v>
      </c>
      <c r="X138" s="6"/>
      <c r="Y138" s="6"/>
      <c r="Z138" s="6"/>
      <c r="AA138" s="6" t="s">
        <v>978</v>
      </c>
    </row>
    <row r="139" spans="1:27" s="4" customFormat="1" ht="51.95" customHeight="1">
      <c r="A139" s="5">
        <v>0</v>
      </c>
      <c r="B139" s="6" t="s">
        <v>979</v>
      </c>
      <c r="C139" s="13">
        <v>250</v>
      </c>
      <c r="D139" s="8" t="s">
        <v>980</v>
      </c>
      <c r="E139" s="8" t="s">
        <v>981</v>
      </c>
      <c r="F139" s="8" t="s">
        <v>982</v>
      </c>
      <c r="G139" s="6" t="s">
        <v>53</v>
      </c>
      <c r="H139" s="6" t="s">
        <v>38</v>
      </c>
      <c r="I139" s="8" t="s">
        <v>75</v>
      </c>
      <c r="J139" s="9">
        <v>1</v>
      </c>
      <c r="K139" s="9">
        <v>48</v>
      </c>
      <c r="L139" s="9">
        <v>2023</v>
      </c>
      <c r="M139" s="8" t="s">
        <v>983</v>
      </c>
      <c r="N139" s="8" t="s">
        <v>41</v>
      </c>
      <c r="O139" s="8" t="s">
        <v>42</v>
      </c>
      <c r="P139" s="6" t="s">
        <v>185</v>
      </c>
      <c r="Q139" s="8" t="s">
        <v>78</v>
      </c>
      <c r="R139" s="10" t="s">
        <v>276</v>
      </c>
      <c r="S139" s="11" t="s">
        <v>984</v>
      </c>
      <c r="T139" s="6"/>
      <c r="U139" s="27" t="str">
        <f>HYPERLINK("https://media.infra-m.ru/1907/1907546/cover/1907546.jpg", "Обложка")</f>
        <v>Обложка</v>
      </c>
      <c r="V139" s="27" t="str">
        <f>HYPERLINK("https://znanium.com/catalog/product/1907546", "Ознакомиться")</f>
        <v>Ознакомиться</v>
      </c>
      <c r="W139" s="8" t="s">
        <v>444</v>
      </c>
      <c r="X139" s="6"/>
      <c r="Y139" s="6"/>
      <c r="Z139" s="6" t="s">
        <v>82</v>
      </c>
      <c r="AA139" s="6" t="s">
        <v>136</v>
      </c>
    </row>
    <row r="140" spans="1:27" s="4" customFormat="1" ht="51.95" customHeight="1">
      <c r="A140" s="5">
        <v>0</v>
      </c>
      <c r="B140" s="6" t="s">
        <v>985</v>
      </c>
      <c r="C140" s="13">
        <v>310</v>
      </c>
      <c r="D140" s="8" t="s">
        <v>986</v>
      </c>
      <c r="E140" s="8" t="s">
        <v>987</v>
      </c>
      <c r="F140" s="8" t="s">
        <v>988</v>
      </c>
      <c r="G140" s="6" t="s">
        <v>53</v>
      </c>
      <c r="H140" s="6" t="s">
        <v>38</v>
      </c>
      <c r="I140" s="8"/>
      <c r="J140" s="9">
        <v>1</v>
      </c>
      <c r="K140" s="9">
        <v>48</v>
      </c>
      <c r="L140" s="9">
        <v>2023</v>
      </c>
      <c r="M140" s="8" t="s">
        <v>989</v>
      </c>
      <c r="N140" s="8" t="s">
        <v>41</v>
      </c>
      <c r="O140" s="8" t="s">
        <v>42</v>
      </c>
      <c r="P140" s="6" t="s">
        <v>185</v>
      </c>
      <c r="Q140" s="8" t="s">
        <v>89</v>
      </c>
      <c r="R140" s="10" t="s">
        <v>442</v>
      </c>
      <c r="S140" s="11" t="s">
        <v>990</v>
      </c>
      <c r="T140" s="6"/>
      <c r="U140" s="27" t="str">
        <f>HYPERLINK("https://media.infra-m.ru/1911/1911788/cover/1911788.jpg", "Обложка")</f>
        <v>Обложка</v>
      </c>
      <c r="V140" s="27" t="str">
        <f>HYPERLINK("https://znanium.com/catalog/product/1911788", "Ознакомиться")</f>
        <v>Ознакомиться</v>
      </c>
      <c r="W140" s="8" t="s">
        <v>444</v>
      </c>
      <c r="X140" s="6"/>
      <c r="Y140" s="6"/>
      <c r="Z140" s="6"/>
      <c r="AA140" s="6" t="s">
        <v>208</v>
      </c>
    </row>
    <row r="141" spans="1:27" s="4" customFormat="1" ht="51.95" customHeight="1">
      <c r="A141" s="5">
        <v>0</v>
      </c>
      <c r="B141" s="6" t="s">
        <v>991</v>
      </c>
      <c r="C141" s="7">
        <v>1010</v>
      </c>
      <c r="D141" s="8" t="s">
        <v>992</v>
      </c>
      <c r="E141" s="8" t="s">
        <v>993</v>
      </c>
      <c r="F141" s="8" t="s">
        <v>412</v>
      </c>
      <c r="G141" s="6" t="s">
        <v>37</v>
      </c>
      <c r="H141" s="6" t="s">
        <v>38</v>
      </c>
      <c r="I141" s="8" t="s">
        <v>183</v>
      </c>
      <c r="J141" s="9">
        <v>1</v>
      </c>
      <c r="K141" s="9">
        <v>219</v>
      </c>
      <c r="L141" s="9">
        <v>2024</v>
      </c>
      <c r="M141" s="8" t="s">
        <v>994</v>
      </c>
      <c r="N141" s="8" t="s">
        <v>41</v>
      </c>
      <c r="O141" s="8" t="s">
        <v>42</v>
      </c>
      <c r="P141" s="6" t="s">
        <v>77</v>
      </c>
      <c r="Q141" s="8" t="s">
        <v>316</v>
      </c>
      <c r="R141" s="10" t="s">
        <v>995</v>
      </c>
      <c r="S141" s="11" t="s">
        <v>996</v>
      </c>
      <c r="T141" s="6"/>
      <c r="U141" s="27" t="str">
        <f>HYPERLINK("https://media.infra-m.ru/2116/2116871/cover/2116871.jpg", "Обложка")</f>
        <v>Обложка</v>
      </c>
      <c r="V141" s="27" t="str">
        <f>HYPERLINK("https://znanium.com/catalog/product/2116871", "Ознакомиться")</f>
        <v>Ознакомиться</v>
      </c>
      <c r="W141" s="8" t="s">
        <v>116</v>
      </c>
      <c r="X141" s="6"/>
      <c r="Y141" s="6"/>
      <c r="Z141" s="6"/>
      <c r="AA141" s="6" t="s">
        <v>178</v>
      </c>
    </row>
    <row r="142" spans="1:27" s="4" customFormat="1" ht="51.95" customHeight="1">
      <c r="A142" s="5">
        <v>0</v>
      </c>
      <c r="B142" s="6" t="s">
        <v>997</v>
      </c>
      <c r="C142" s="7">
        <v>1100</v>
      </c>
      <c r="D142" s="8" t="s">
        <v>998</v>
      </c>
      <c r="E142" s="8" t="s">
        <v>993</v>
      </c>
      <c r="F142" s="8" t="s">
        <v>412</v>
      </c>
      <c r="G142" s="6" t="s">
        <v>37</v>
      </c>
      <c r="H142" s="6" t="s">
        <v>38</v>
      </c>
      <c r="I142" s="8" t="s">
        <v>122</v>
      </c>
      <c r="J142" s="9">
        <v>1</v>
      </c>
      <c r="K142" s="9">
        <v>238</v>
      </c>
      <c r="L142" s="9">
        <v>2024</v>
      </c>
      <c r="M142" s="8" t="s">
        <v>999</v>
      </c>
      <c r="N142" s="8" t="s">
        <v>41</v>
      </c>
      <c r="O142" s="8" t="s">
        <v>42</v>
      </c>
      <c r="P142" s="6" t="s">
        <v>77</v>
      </c>
      <c r="Q142" s="8" t="s">
        <v>124</v>
      </c>
      <c r="R142" s="10" t="s">
        <v>442</v>
      </c>
      <c r="S142" s="11" t="s">
        <v>1000</v>
      </c>
      <c r="T142" s="6"/>
      <c r="U142" s="27" t="str">
        <f>HYPERLINK("https://media.infra-m.ru/2094/2094376/cover/2094376.jpg", "Обложка")</f>
        <v>Обложка</v>
      </c>
      <c r="V142" s="27" t="str">
        <f>HYPERLINK("https://znanium.com/catalog/product/2094376", "Ознакомиться")</f>
        <v>Ознакомиться</v>
      </c>
      <c r="W142" s="8" t="s">
        <v>116</v>
      </c>
      <c r="X142" s="6"/>
      <c r="Y142" s="6"/>
      <c r="Z142" s="6"/>
      <c r="AA142" s="6" t="s">
        <v>178</v>
      </c>
    </row>
    <row r="143" spans="1:27" s="4" customFormat="1" ht="51.95" customHeight="1">
      <c r="A143" s="5">
        <v>0</v>
      </c>
      <c r="B143" s="6" t="s">
        <v>1001</v>
      </c>
      <c r="C143" s="7">
        <v>1150</v>
      </c>
      <c r="D143" s="8" t="s">
        <v>1002</v>
      </c>
      <c r="E143" s="8" t="s">
        <v>1003</v>
      </c>
      <c r="F143" s="8" t="s">
        <v>1004</v>
      </c>
      <c r="G143" s="6" t="s">
        <v>37</v>
      </c>
      <c r="H143" s="6" t="s">
        <v>38</v>
      </c>
      <c r="I143" s="8" t="s">
        <v>183</v>
      </c>
      <c r="J143" s="9">
        <v>1</v>
      </c>
      <c r="K143" s="9">
        <v>243</v>
      </c>
      <c r="L143" s="9">
        <v>2024</v>
      </c>
      <c r="M143" s="8" t="s">
        <v>1005</v>
      </c>
      <c r="N143" s="8" t="s">
        <v>41</v>
      </c>
      <c r="O143" s="8" t="s">
        <v>42</v>
      </c>
      <c r="P143" s="6" t="s">
        <v>150</v>
      </c>
      <c r="Q143" s="8" t="s">
        <v>316</v>
      </c>
      <c r="R143" s="10" t="s">
        <v>442</v>
      </c>
      <c r="S143" s="11" t="s">
        <v>1006</v>
      </c>
      <c r="T143" s="6"/>
      <c r="U143" s="27" t="str">
        <f>HYPERLINK("https://media.infra-m.ru/2093/2093902/cover/2093902.jpg", "Обложка")</f>
        <v>Обложка</v>
      </c>
      <c r="V143" s="27" t="str">
        <f>HYPERLINK("https://znanium.com/catalog/product/2093902", "Ознакомиться")</f>
        <v>Ознакомиться</v>
      </c>
      <c r="W143" s="8" t="s">
        <v>1007</v>
      </c>
      <c r="X143" s="6"/>
      <c r="Y143" s="6"/>
      <c r="Z143" s="6"/>
      <c r="AA143" s="6" t="s">
        <v>128</v>
      </c>
    </row>
    <row r="144" spans="1:27" s="4" customFormat="1" ht="51.95" customHeight="1">
      <c r="A144" s="5">
        <v>0</v>
      </c>
      <c r="B144" s="6" t="s">
        <v>1008</v>
      </c>
      <c r="C144" s="13">
        <v>810</v>
      </c>
      <c r="D144" s="8" t="s">
        <v>1009</v>
      </c>
      <c r="E144" s="8" t="s">
        <v>1010</v>
      </c>
      <c r="F144" s="8" t="s">
        <v>1011</v>
      </c>
      <c r="G144" s="6" t="s">
        <v>53</v>
      </c>
      <c r="H144" s="6" t="s">
        <v>38</v>
      </c>
      <c r="I144" s="8" t="s">
        <v>75</v>
      </c>
      <c r="J144" s="9">
        <v>1</v>
      </c>
      <c r="K144" s="9">
        <v>180</v>
      </c>
      <c r="L144" s="9">
        <v>2023</v>
      </c>
      <c r="M144" s="8" t="s">
        <v>1012</v>
      </c>
      <c r="N144" s="8" t="s">
        <v>41</v>
      </c>
      <c r="O144" s="8" t="s">
        <v>42</v>
      </c>
      <c r="P144" s="6" t="s">
        <v>77</v>
      </c>
      <c r="Q144" s="8" t="s">
        <v>78</v>
      </c>
      <c r="R144" s="10" t="s">
        <v>1013</v>
      </c>
      <c r="S144" s="11" t="s">
        <v>1014</v>
      </c>
      <c r="T144" s="6"/>
      <c r="U144" s="27" t="str">
        <f>HYPERLINK("https://media.infra-m.ru/1959/1959256/cover/1959256.jpg", "Обложка")</f>
        <v>Обложка</v>
      </c>
      <c r="V144" s="27" t="str">
        <f>HYPERLINK("https://znanium.com/catalog/product/1959256", "Ознакомиться")</f>
        <v>Ознакомиться</v>
      </c>
      <c r="W144" s="8" t="s">
        <v>1007</v>
      </c>
      <c r="X144" s="6"/>
      <c r="Y144" s="6"/>
      <c r="Z144" s="6" t="s">
        <v>579</v>
      </c>
      <c r="AA144" s="6" t="s">
        <v>128</v>
      </c>
    </row>
    <row r="145" spans="1:27" s="4" customFormat="1" ht="51.95" customHeight="1">
      <c r="A145" s="5">
        <v>0</v>
      </c>
      <c r="B145" s="6" t="s">
        <v>1015</v>
      </c>
      <c r="C145" s="13">
        <v>830</v>
      </c>
      <c r="D145" s="8" t="s">
        <v>1016</v>
      </c>
      <c r="E145" s="8" t="s">
        <v>1010</v>
      </c>
      <c r="F145" s="8" t="s">
        <v>1011</v>
      </c>
      <c r="G145" s="6" t="s">
        <v>53</v>
      </c>
      <c r="H145" s="6" t="s">
        <v>38</v>
      </c>
      <c r="I145" s="8" t="s">
        <v>183</v>
      </c>
      <c r="J145" s="9">
        <v>1</v>
      </c>
      <c r="K145" s="9">
        <v>180</v>
      </c>
      <c r="L145" s="9">
        <v>2024</v>
      </c>
      <c r="M145" s="8" t="s">
        <v>1017</v>
      </c>
      <c r="N145" s="8" t="s">
        <v>41</v>
      </c>
      <c r="O145" s="8" t="s">
        <v>42</v>
      </c>
      <c r="P145" s="6" t="s">
        <v>77</v>
      </c>
      <c r="Q145" s="8" t="s">
        <v>316</v>
      </c>
      <c r="R145" s="10" t="s">
        <v>1018</v>
      </c>
      <c r="S145" s="11" t="s">
        <v>1019</v>
      </c>
      <c r="T145" s="6"/>
      <c r="U145" s="27" t="str">
        <f>HYPERLINK("https://media.infra-m.ru/2020/2020526/cover/2020526.jpg", "Обложка")</f>
        <v>Обложка</v>
      </c>
      <c r="V145" s="27" t="str">
        <f>HYPERLINK("https://znanium.com/catalog/product/2020526", "Ознакомиться")</f>
        <v>Ознакомиться</v>
      </c>
      <c r="W145" s="8" t="s">
        <v>1007</v>
      </c>
      <c r="X145" s="6"/>
      <c r="Y145" s="6"/>
      <c r="Z145" s="6"/>
      <c r="AA145" s="6" t="s">
        <v>109</v>
      </c>
    </row>
    <row r="146" spans="1:27" s="4" customFormat="1" ht="51.95" customHeight="1">
      <c r="A146" s="5">
        <v>0</v>
      </c>
      <c r="B146" s="6" t="s">
        <v>1020</v>
      </c>
      <c r="C146" s="7">
        <v>1440</v>
      </c>
      <c r="D146" s="8" t="s">
        <v>1021</v>
      </c>
      <c r="E146" s="8" t="s">
        <v>1022</v>
      </c>
      <c r="F146" s="8" t="s">
        <v>1023</v>
      </c>
      <c r="G146" s="6" t="s">
        <v>37</v>
      </c>
      <c r="H146" s="6" t="s">
        <v>38</v>
      </c>
      <c r="I146" s="8" t="s">
        <v>183</v>
      </c>
      <c r="J146" s="9">
        <v>1</v>
      </c>
      <c r="K146" s="9">
        <v>313</v>
      </c>
      <c r="L146" s="9">
        <v>2024</v>
      </c>
      <c r="M146" s="8" t="s">
        <v>1024</v>
      </c>
      <c r="N146" s="8" t="s">
        <v>41</v>
      </c>
      <c r="O146" s="8" t="s">
        <v>42</v>
      </c>
      <c r="P146" s="6" t="s">
        <v>150</v>
      </c>
      <c r="Q146" s="8" t="s">
        <v>89</v>
      </c>
      <c r="R146" s="10" t="s">
        <v>1018</v>
      </c>
      <c r="S146" s="11" t="s">
        <v>1025</v>
      </c>
      <c r="T146" s="6"/>
      <c r="U146" s="27" t="str">
        <f>HYPERLINK("https://media.infra-m.ru/2082/2082905/cover/2082905.jpg", "Обложка")</f>
        <v>Обложка</v>
      </c>
      <c r="V146" s="27" t="str">
        <f>HYPERLINK("https://znanium.com/catalog/product/2082905", "Ознакомиться")</f>
        <v>Ознакомиться</v>
      </c>
      <c r="W146" s="8" t="s">
        <v>1007</v>
      </c>
      <c r="X146" s="6"/>
      <c r="Y146" s="6"/>
      <c r="Z146" s="6"/>
      <c r="AA146" s="6" t="s">
        <v>109</v>
      </c>
    </row>
    <row r="147" spans="1:27" s="4" customFormat="1" ht="42" customHeight="1">
      <c r="A147" s="5">
        <v>0</v>
      </c>
      <c r="B147" s="6" t="s">
        <v>1026</v>
      </c>
      <c r="C147" s="13">
        <v>900</v>
      </c>
      <c r="D147" s="8" t="s">
        <v>1027</v>
      </c>
      <c r="E147" s="8" t="s">
        <v>1028</v>
      </c>
      <c r="F147" s="8" t="s">
        <v>1029</v>
      </c>
      <c r="G147" s="6" t="s">
        <v>165</v>
      </c>
      <c r="H147" s="6" t="s">
        <v>38</v>
      </c>
      <c r="I147" s="8" t="s">
        <v>54</v>
      </c>
      <c r="J147" s="9">
        <v>1</v>
      </c>
      <c r="K147" s="9">
        <v>233</v>
      </c>
      <c r="L147" s="9">
        <v>2021</v>
      </c>
      <c r="M147" s="8" t="s">
        <v>1030</v>
      </c>
      <c r="N147" s="8" t="s">
        <v>41</v>
      </c>
      <c r="O147" s="8" t="s">
        <v>42</v>
      </c>
      <c r="P147" s="6" t="s">
        <v>58</v>
      </c>
      <c r="Q147" s="8" t="s">
        <v>44</v>
      </c>
      <c r="R147" s="10" t="s">
        <v>1031</v>
      </c>
      <c r="S147" s="11"/>
      <c r="T147" s="6"/>
      <c r="U147" s="27" t="str">
        <f>HYPERLINK("https://media.infra-m.ru/1137/1137904/cover/1137904.jpg", "Обложка")</f>
        <v>Обложка</v>
      </c>
      <c r="V147" s="27" t="str">
        <f>HYPERLINK("https://znanium.com/catalog/product/1208738", "Ознакомиться")</f>
        <v>Ознакомиться</v>
      </c>
      <c r="W147" s="8" t="s">
        <v>154</v>
      </c>
      <c r="X147" s="6"/>
      <c r="Y147" s="6"/>
      <c r="Z147" s="6"/>
      <c r="AA147" s="6" t="s">
        <v>136</v>
      </c>
    </row>
    <row r="148" spans="1:27" s="4" customFormat="1" ht="51.95" customHeight="1">
      <c r="A148" s="5">
        <v>0</v>
      </c>
      <c r="B148" s="6" t="s">
        <v>1032</v>
      </c>
      <c r="C148" s="7">
        <v>1460</v>
      </c>
      <c r="D148" s="8" t="s">
        <v>1033</v>
      </c>
      <c r="E148" s="8" t="s">
        <v>1034</v>
      </c>
      <c r="F148" s="8" t="s">
        <v>1035</v>
      </c>
      <c r="G148" s="6" t="s">
        <v>37</v>
      </c>
      <c r="H148" s="6" t="s">
        <v>38</v>
      </c>
      <c r="I148" s="8" t="s">
        <v>75</v>
      </c>
      <c r="J148" s="9">
        <v>1</v>
      </c>
      <c r="K148" s="9">
        <v>316</v>
      </c>
      <c r="L148" s="9">
        <v>2024</v>
      </c>
      <c r="M148" s="8" t="s">
        <v>1036</v>
      </c>
      <c r="N148" s="8" t="s">
        <v>41</v>
      </c>
      <c r="O148" s="8" t="s">
        <v>42</v>
      </c>
      <c r="P148" s="6" t="s">
        <v>150</v>
      </c>
      <c r="Q148" s="8" t="s">
        <v>78</v>
      </c>
      <c r="R148" s="10" t="s">
        <v>1037</v>
      </c>
      <c r="S148" s="11" t="s">
        <v>1038</v>
      </c>
      <c r="T148" s="6"/>
      <c r="U148" s="27" t="str">
        <f>HYPERLINK("https://media.infra-m.ru/2100/2100011/cover/2100011.jpg", "Обложка")</f>
        <v>Обложка</v>
      </c>
      <c r="V148" s="27" t="str">
        <f>HYPERLINK("https://znanium.com/catalog/product/2100011", "Ознакомиться")</f>
        <v>Ознакомиться</v>
      </c>
      <c r="W148" s="8"/>
      <c r="X148" s="6"/>
      <c r="Y148" s="6"/>
      <c r="Z148" s="6"/>
      <c r="AA148" s="6" t="s">
        <v>128</v>
      </c>
    </row>
    <row r="149" spans="1:27" s="4" customFormat="1" ht="42" customHeight="1">
      <c r="A149" s="5">
        <v>0</v>
      </c>
      <c r="B149" s="6" t="s">
        <v>1039</v>
      </c>
      <c r="C149" s="13">
        <v>820</v>
      </c>
      <c r="D149" s="8" t="s">
        <v>1040</v>
      </c>
      <c r="E149" s="8" t="s">
        <v>1041</v>
      </c>
      <c r="F149" s="8" t="s">
        <v>1042</v>
      </c>
      <c r="G149" s="6" t="s">
        <v>53</v>
      </c>
      <c r="H149" s="6" t="s">
        <v>38</v>
      </c>
      <c r="I149" s="8" t="s">
        <v>54</v>
      </c>
      <c r="J149" s="9">
        <v>1</v>
      </c>
      <c r="K149" s="9">
        <v>173</v>
      </c>
      <c r="L149" s="9">
        <v>2022</v>
      </c>
      <c r="M149" s="8" t="s">
        <v>1043</v>
      </c>
      <c r="N149" s="8" t="s">
        <v>41</v>
      </c>
      <c r="O149" s="8" t="s">
        <v>42</v>
      </c>
      <c r="P149" s="6" t="s">
        <v>58</v>
      </c>
      <c r="Q149" s="8" t="s">
        <v>44</v>
      </c>
      <c r="R149" s="10" t="s">
        <v>378</v>
      </c>
      <c r="S149" s="11"/>
      <c r="T149" s="6"/>
      <c r="U149" s="27" t="str">
        <f>HYPERLINK("https://media.infra-m.ru/1859/1859606/cover/1859606.jpg", "Обложка")</f>
        <v>Обложка</v>
      </c>
      <c r="V149" s="27" t="str">
        <f>HYPERLINK("https://znanium.com/catalog/product/1859606", "Ознакомиться")</f>
        <v>Ознакомиться</v>
      </c>
      <c r="W149" s="8" t="s">
        <v>1044</v>
      </c>
      <c r="X149" s="6"/>
      <c r="Y149" s="6"/>
      <c r="Z149" s="6"/>
      <c r="AA149" s="6" t="s">
        <v>178</v>
      </c>
    </row>
    <row r="150" spans="1:27" s="4" customFormat="1" ht="51.95" customHeight="1">
      <c r="A150" s="5">
        <v>0</v>
      </c>
      <c r="B150" s="6" t="s">
        <v>1045</v>
      </c>
      <c r="C150" s="7">
        <v>1730</v>
      </c>
      <c r="D150" s="8" t="s">
        <v>1046</v>
      </c>
      <c r="E150" s="8" t="s">
        <v>1047</v>
      </c>
      <c r="F150" s="8" t="s">
        <v>1048</v>
      </c>
      <c r="G150" s="6" t="s">
        <v>37</v>
      </c>
      <c r="H150" s="6" t="s">
        <v>38</v>
      </c>
      <c r="I150" s="8" t="s">
        <v>183</v>
      </c>
      <c r="J150" s="9">
        <v>1</v>
      </c>
      <c r="K150" s="9">
        <v>376</v>
      </c>
      <c r="L150" s="9">
        <v>2023</v>
      </c>
      <c r="M150" s="8" t="s">
        <v>1049</v>
      </c>
      <c r="N150" s="8" t="s">
        <v>56</v>
      </c>
      <c r="O150" s="8" t="s">
        <v>57</v>
      </c>
      <c r="P150" s="6" t="s">
        <v>77</v>
      </c>
      <c r="Q150" s="8" t="s">
        <v>89</v>
      </c>
      <c r="R150" s="10" t="s">
        <v>1050</v>
      </c>
      <c r="S150" s="11" t="s">
        <v>1051</v>
      </c>
      <c r="T150" s="6"/>
      <c r="U150" s="27" t="str">
        <f>HYPERLINK("https://media.infra-m.ru/2048/2048138/cover/2048138.jpg", "Обложка")</f>
        <v>Обложка</v>
      </c>
      <c r="V150" s="27" t="str">
        <f>HYPERLINK("https://znanium.com/catalog/product/2048138", "Ознакомиться")</f>
        <v>Ознакомиться</v>
      </c>
      <c r="W150" s="8" t="s">
        <v>1052</v>
      </c>
      <c r="X150" s="6"/>
      <c r="Y150" s="6"/>
      <c r="Z150" s="6"/>
      <c r="AA150" s="6" t="s">
        <v>136</v>
      </c>
    </row>
    <row r="151" spans="1:27" s="4" customFormat="1" ht="51.95" customHeight="1">
      <c r="A151" s="5">
        <v>0</v>
      </c>
      <c r="B151" s="6" t="s">
        <v>1053</v>
      </c>
      <c r="C151" s="7">
        <v>1300</v>
      </c>
      <c r="D151" s="8" t="s">
        <v>1054</v>
      </c>
      <c r="E151" s="8" t="s">
        <v>1055</v>
      </c>
      <c r="F151" s="8" t="s">
        <v>1048</v>
      </c>
      <c r="G151" s="6" t="s">
        <v>37</v>
      </c>
      <c r="H151" s="6" t="s">
        <v>38</v>
      </c>
      <c r="I151" s="8" t="s">
        <v>173</v>
      </c>
      <c r="J151" s="9">
        <v>1</v>
      </c>
      <c r="K151" s="9">
        <v>288</v>
      </c>
      <c r="L151" s="9">
        <v>2023</v>
      </c>
      <c r="M151" s="8" t="s">
        <v>1056</v>
      </c>
      <c r="N151" s="8" t="s">
        <v>56</v>
      </c>
      <c r="O151" s="8" t="s">
        <v>57</v>
      </c>
      <c r="P151" s="6" t="s">
        <v>77</v>
      </c>
      <c r="Q151" s="8" t="s">
        <v>89</v>
      </c>
      <c r="R151" s="10" t="s">
        <v>206</v>
      </c>
      <c r="S151" s="11" t="s">
        <v>1057</v>
      </c>
      <c r="T151" s="6" t="s">
        <v>46</v>
      </c>
      <c r="U151" s="27" t="str">
        <f>HYPERLINK("https://media.infra-m.ru/1993/1993655/cover/1993655.jpg", "Обложка")</f>
        <v>Обложка</v>
      </c>
      <c r="V151" s="27" t="str">
        <f>HYPERLINK("https://znanium.com/catalog/product/1993655", "Ознакомиться")</f>
        <v>Ознакомиться</v>
      </c>
      <c r="W151" s="8" t="s">
        <v>1052</v>
      </c>
      <c r="X151" s="6"/>
      <c r="Y151" s="6"/>
      <c r="Z151" s="6"/>
      <c r="AA151" s="6" t="s">
        <v>302</v>
      </c>
    </row>
    <row r="152" spans="1:27" s="4" customFormat="1" ht="51.95" customHeight="1">
      <c r="A152" s="5">
        <v>0</v>
      </c>
      <c r="B152" s="6" t="s">
        <v>1058</v>
      </c>
      <c r="C152" s="13">
        <v>744.9</v>
      </c>
      <c r="D152" s="8" t="s">
        <v>1059</v>
      </c>
      <c r="E152" s="8" t="s">
        <v>1060</v>
      </c>
      <c r="F152" s="8" t="s">
        <v>1061</v>
      </c>
      <c r="G152" s="6" t="s">
        <v>165</v>
      </c>
      <c r="H152" s="6" t="s">
        <v>38</v>
      </c>
      <c r="I152" s="8" t="s">
        <v>173</v>
      </c>
      <c r="J152" s="9">
        <v>1</v>
      </c>
      <c r="K152" s="9">
        <v>256</v>
      </c>
      <c r="L152" s="9">
        <v>2018</v>
      </c>
      <c r="M152" s="8" t="s">
        <v>1062</v>
      </c>
      <c r="N152" s="8" t="s">
        <v>56</v>
      </c>
      <c r="O152" s="8" t="s">
        <v>57</v>
      </c>
      <c r="P152" s="6" t="s">
        <v>77</v>
      </c>
      <c r="Q152" s="8" t="s">
        <v>89</v>
      </c>
      <c r="R152" s="10" t="s">
        <v>206</v>
      </c>
      <c r="S152" s="11" t="s">
        <v>1057</v>
      </c>
      <c r="T152" s="6" t="s">
        <v>46</v>
      </c>
      <c r="U152" s="27" t="str">
        <f>HYPERLINK("https://media.infra-m.ru/0908/0908708/cover/908708.jpg", "Обложка")</f>
        <v>Обложка</v>
      </c>
      <c r="V152" s="27" t="str">
        <f>HYPERLINK("https://znanium.com/catalog/product/1993655", "Ознакомиться")</f>
        <v>Ознакомиться</v>
      </c>
      <c r="W152" s="8" t="s">
        <v>1052</v>
      </c>
      <c r="X152" s="6"/>
      <c r="Y152" s="6"/>
      <c r="Z152" s="6"/>
      <c r="AA152" s="6" t="s">
        <v>208</v>
      </c>
    </row>
    <row r="153" spans="1:27" s="4" customFormat="1" ht="51.95" customHeight="1">
      <c r="A153" s="5">
        <v>0</v>
      </c>
      <c r="B153" s="6" t="s">
        <v>1063</v>
      </c>
      <c r="C153" s="13">
        <v>744</v>
      </c>
      <c r="D153" s="8" t="s">
        <v>1064</v>
      </c>
      <c r="E153" s="8" t="s">
        <v>1065</v>
      </c>
      <c r="F153" s="8" t="s">
        <v>1066</v>
      </c>
      <c r="G153" s="6" t="s">
        <v>53</v>
      </c>
      <c r="H153" s="6" t="s">
        <v>248</v>
      </c>
      <c r="I153" s="8" t="s">
        <v>1067</v>
      </c>
      <c r="J153" s="9">
        <v>1</v>
      </c>
      <c r="K153" s="9">
        <v>160</v>
      </c>
      <c r="L153" s="9">
        <v>2024</v>
      </c>
      <c r="M153" s="8" t="s">
        <v>1068</v>
      </c>
      <c r="N153" s="8" t="s">
        <v>56</v>
      </c>
      <c r="O153" s="8" t="s">
        <v>57</v>
      </c>
      <c r="P153" s="6" t="s">
        <v>58</v>
      </c>
      <c r="Q153" s="8" t="s">
        <v>44</v>
      </c>
      <c r="R153" s="10" t="s">
        <v>1069</v>
      </c>
      <c r="S153" s="11"/>
      <c r="T153" s="6"/>
      <c r="U153" s="27" t="str">
        <f>HYPERLINK("https://media.infra-m.ru/2118/2118634/cover/2118634.jpg", "Обложка")</f>
        <v>Обложка</v>
      </c>
      <c r="V153" s="27" t="str">
        <f>HYPERLINK("https://znanium.com/catalog/product/2006074", "Ознакомиться")</f>
        <v>Ознакомиться</v>
      </c>
      <c r="W153" s="8" t="s">
        <v>341</v>
      </c>
      <c r="X153" s="6"/>
      <c r="Y153" s="6"/>
      <c r="Z153" s="6"/>
      <c r="AA153" s="6" t="s">
        <v>48</v>
      </c>
    </row>
    <row r="154" spans="1:27" s="4" customFormat="1" ht="51.95" customHeight="1">
      <c r="A154" s="5">
        <v>0</v>
      </c>
      <c r="B154" s="6" t="s">
        <v>1070</v>
      </c>
      <c r="C154" s="7">
        <v>1344.9</v>
      </c>
      <c r="D154" s="8" t="s">
        <v>1071</v>
      </c>
      <c r="E154" s="8" t="s">
        <v>1072</v>
      </c>
      <c r="F154" s="8" t="s">
        <v>1073</v>
      </c>
      <c r="G154" s="6" t="s">
        <v>165</v>
      </c>
      <c r="H154" s="6" t="s">
        <v>38</v>
      </c>
      <c r="I154" s="8" t="s">
        <v>173</v>
      </c>
      <c r="J154" s="9">
        <v>1</v>
      </c>
      <c r="K154" s="9">
        <v>298</v>
      </c>
      <c r="L154" s="9">
        <v>2023</v>
      </c>
      <c r="M154" s="8" t="s">
        <v>1074</v>
      </c>
      <c r="N154" s="8" t="s">
        <v>41</v>
      </c>
      <c r="O154" s="8" t="s">
        <v>42</v>
      </c>
      <c r="P154" s="6" t="s">
        <v>77</v>
      </c>
      <c r="Q154" s="8" t="s">
        <v>89</v>
      </c>
      <c r="R154" s="10" t="s">
        <v>1075</v>
      </c>
      <c r="S154" s="11" t="s">
        <v>1076</v>
      </c>
      <c r="T154" s="6"/>
      <c r="U154" s="27" t="str">
        <f>HYPERLINK("https://media.infra-m.ru/2045/2045951/cover/2045951.jpg", "Обложка")</f>
        <v>Обложка</v>
      </c>
      <c r="V154" s="27" t="str">
        <f>HYPERLINK("https://znanium.com/catalog/product/1042675", "Ознакомиться")</f>
        <v>Ознакомиться</v>
      </c>
      <c r="W154" s="8" t="s">
        <v>1077</v>
      </c>
      <c r="X154" s="6"/>
      <c r="Y154" s="6"/>
      <c r="Z154" s="6"/>
      <c r="AA154" s="6" t="s">
        <v>128</v>
      </c>
    </row>
    <row r="155" spans="1:27" s="4" customFormat="1" ht="51.95" customHeight="1">
      <c r="A155" s="5">
        <v>0</v>
      </c>
      <c r="B155" s="6" t="s">
        <v>1078</v>
      </c>
      <c r="C155" s="13">
        <v>800</v>
      </c>
      <c r="D155" s="8" t="s">
        <v>1079</v>
      </c>
      <c r="E155" s="8" t="s">
        <v>1080</v>
      </c>
      <c r="F155" s="8" t="s">
        <v>1081</v>
      </c>
      <c r="G155" s="6" t="s">
        <v>53</v>
      </c>
      <c r="H155" s="6" t="s">
        <v>87</v>
      </c>
      <c r="I155" s="8" t="s">
        <v>183</v>
      </c>
      <c r="J155" s="9">
        <v>1</v>
      </c>
      <c r="K155" s="9">
        <v>175</v>
      </c>
      <c r="L155" s="9">
        <v>2023</v>
      </c>
      <c r="M155" s="8" t="s">
        <v>1082</v>
      </c>
      <c r="N155" s="8" t="s">
        <v>41</v>
      </c>
      <c r="O155" s="8" t="s">
        <v>42</v>
      </c>
      <c r="P155" s="6" t="s">
        <v>185</v>
      </c>
      <c r="Q155" s="8" t="s">
        <v>316</v>
      </c>
      <c r="R155" s="10" t="s">
        <v>1083</v>
      </c>
      <c r="S155" s="11" t="s">
        <v>1084</v>
      </c>
      <c r="T155" s="6"/>
      <c r="U155" s="27" t="str">
        <f>HYPERLINK("https://media.infra-m.ru/1934/1934015/cover/1934015.jpg", "Обложка")</f>
        <v>Обложка</v>
      </c>
      <c r="V155" s="27" t="str">
        <f>HYPERLINK("https://znanium.com/catalog/product/2082906", "Ознакомиться")</f>
        <v>Ознакомиться</v>
      </c>
      <c r="W155" s="8" t="s">
        <v>444</v>
      </c>
      <c r="X155" s="6"/>
      <c r="Y155" s="6"/>
      <c r="Z155" s="6"/>
      <c r="AA155" s="6" t="s">
        <v>208</v>
      </c>
    </row>
    <row r="156" spans="1:27" s="4" customFormat="1" ht="51.95" customHeight="1">
      <c r="A156" s="5">
        <v>0</v>
      </c>
      <c r="B156" s="6" t="s">
        <v>1085</v>
      </c>
      <c r="C156" s="7">
        <v>1080</v>
      </c>
      <c r="D156" s="8" t="s">
        <v>1086</v>
      </c>
      <c r="E156" s="8" t="s">
        <v>1087</v>
      </c>
      <c r="F156" s="8" t="s">
        <v>1088</v>
      </c>
      <c r="G156" s="6" t="s">
        <v>37</v>
      </c>
      <c r="H156" s="6" t="s">
        <v>878</v>
      </c>
      <c r="I156" s="8" t="s">
        <v>75</v>
      </c>
      <c r="J156" s="9">
        <v>1</v>
      </c>
      <c r="K156" s="9">
        <v>240</v>
      </c>
      <c r="L156" s="9">
        <v>2023</v>
      </c>
      <c r="M156" s="8" t="s">
        <v>1089</v>
      </c>
      <c r="N156" s="8" t="s">
        <v>41</v>
      </c>
      <c r="O156" s="8" t="s">
        <v>42</v>
      </c>
      <c r="P156" s="6" t="s">
        <v>77</v>
      </c>
      <c r="Q156" s="8" t="s">
        <v>78</v>
      </c>
      <c r="R156" s="10" t="s">
        <v>1090</v>
      </c>
      <c r="S156" s="11" t="s">
        <v>1091</v>
      </c>
      <c r="T156" s="6"/>
      <c r="U156" s="27" t="str">
        <f>HYPERLINK("https://media.infra-m.ru/1902/1902327/cover/1902327.jpg", "Обложка")</f>
        <v>Обложка</v>
      </c>
      <c r="V156" s="27" t="str">
        <f>HYPERLINK("https://znanium.com/catalog/product/2116850", "Ознакомиться")</f>
        <v>Ознакомиться</v>
      </c>
      <c r="W156" s="8" t="s">
        <v>116</v>
      </c>
      <c r="X156" s="6"/>
      <c r="Y156" s="6"/>
      <c r="Z156" s="6"/>
      <c r="AA156" s="6" t="s">
        <v>1092</v>
      </c>
    </row>
    <row r="157" spans="1:27" s="4" customFormat="1" ht="51.95" customHeight="1">
      <c r="A157" s="5">
        <v>0</v>
      </c>
      <c r="B157" s="6" t="s">
        <v>1093</v>
      </c>
      <c r="C157" s="7">
        <v>1364.9</v>
      </c>
      <c r="D157" s="8" t="s">
        <v>1094</v>
      </c>
      <c r="E157" s="8" t="s">
        <v>1095</v>
      </c>
      <c r="F157" s="8" t="s">
        <v>1096</v>
      </c>
      <c r="G157" s="6" t="s">
        <v>37</v>
      </c>
      <c r="H157" s="6" t="s">
        <v>38</v>
      </c>
      <c r="I157" s="8" t="s">
        <v>173</v>
      </c>
      <c r="J157" s="9">
        <v>1</v>
      </c>
      <c r="K157" s="9">
        <v>301</v>
      </c>
      <c r="L157" s="9">
        <v>2022</v>
      </c>
      <c r="M157" s="8" t="s">
        <v>1097</v>
      </c>
      <c r="N157" s="8" t="s">
        <v>41</v>
      </c>
      <c r="O157" s="8" t="s">
        <v>42</v>
      </c>
      <c r="P157" s="6" t="s">
        <v>150</v>
      </c>
      <c r="Q157" s="8" t="s">
        <v>89</v>
      </c>
      <c r="R157" s="10" t="s">
        <v>1098</v>
      </c>
      <c r="S157" s="11" t="s">
        <v>1099</v>
      </c>
      <c r="T157" s="6"/>
      <c r="U157" s="27" t="str">
        <f>HYPERLINK("https://media.infra-m.ru/1917/1917609/cover/1917609.jpg", "Обложка")</f>
        <v>Обложка</v>
      </c>
      <c r="V157" s="27" t="str">
        <f>HYPERLINK("https://znanium.com/catalog/product/1904340", "Ознакомиться")</f>
        <v>Ознакомиться</v>
      </c>
      <c r="W157" s="8" t="s">
        <v>638</v>
      </c>
      <c r="X157" s="6"/>
      <c r="Y157" s="6"/>
      <c r="Z157" s="6"/>
      <c r="AA157" s="6" t="s">
        <v>543</v>
      </c>
    </row>
    <row r="158" spans="1:27" s="4" customFormat="1" ht="51.95" customHeight="1">
      <c r="A158" s="5">
        <v>0</v>
      </c>
      <c r="B158" s="6" t="s">
        <v>1100</v>
      </c>
      <c r="C158" s="13">
        <v>694</v>
      </c>
      <c r="D158" s="8" t="s">
        <v>1101</v>
      </c>
      <c r="E158" s="8" t="s">
        <v>1102</v>
      </c>
      <c r="F158" s="8" t="s">
        <v>1103</v>
      </c>
      <c r="G158" s="6" t="s">
        <v>165</v>
      </c>
      <c r="H158" s="6" t="s">
        <v>38</v>
      </c>
      <c r="I158" s="8" t="s">
        <v>173</v>
      </c>
      <c r="J158" s="9">
        <v>1</v>
      </c>
      <c r="K158" s="9">
        <v>198</v>
      </c>
      <c r="L158" s="9">
        <v>2019</v>
      </c>
      <c r="M158" s="8" t="s">
        <v>1104</v>
      </c>
      <c r="N158" s="8" t="s">
        <v>41</v>
      </c>
      <c r="O158" s="8" t="s">
        <v>42</v>
      </c>
      <c r="P158" s="6" t="s">
        <v>77</v>
      </c>
      <c r="Q158" s="8" t="s">
        <v>89</v>
      </c>
      <c r="R158" s="10" t="s">
        <v>295</v>
      </c>
      <c r="S158" s="11" t="s">
        <v>1105</v>
      </c>
      <c r="T158" s="6"/>
      <c r="U158" s="27" t="str">
        <f>HYPERLINK("https://media.infra-m.ru/2081/2081987/cover/2081987.jpg", "Обложка")</f>
        <v>Обложка</v>
      </c>
      <c r="V158" s="27" t="str">
        <f>HYPERLINK("https://znanium.com/catalog/product/1902320", "Ознакомиться")</f>
        <v>Ознакомиться</v>
      </c>
      <c r="W158" s="8" t="s">
        <v>1106</v>
      </c>
      <c r="X158" s="6"/>
      <c r="Y158" s="6"/>
      <c r="Z158" s="6"/>
      <c r="AA158" s="6" t="s">
        <v>543</v>
      </c>
    </row>
    <row r="159" spans="1:27" s="4" customFormat="1" ht="51.95" customHeight="1">
      <c r="A159" s="5">
        <v>0</v>
      </c>
      <c r="B159" s="6" t="s">
        <v>1107</v>
      </c>
      <c r="C159" s="13">
        <v>504</v>
      </c>
      <c r="D159" s="8" t="s">
        <v>1108</v>
      </c>
      <c r="E159" s="8" t="s">
        <v>1109</v>
      </c>
      <c r="F159" s="8" t="s">
        <v>1110</v>
      </c>
      <c r="G159" s="6" t="s">
        <v>165</v>
      </c>
      <c r="H159" s="6" t="s">
        <v>38</v>
      </c>
      <c r="I159" s="8" t="s">
        <v>173</v>
      </c>
      <c r="J159" s="9">
        <v>1</v>
      </c>
      <c r="K159" s="9">
        <v>120</v>
      </c>
      <c r="L159" s="9">
        <v>2021</v>
      </c>
      <c r="M159" s="8" t="s">
        <v>1111</v>
      </c>
      <c r="N159" s="8" t="s">
        <v>41</v>
      </c>
      <c r="O159" s="8" t="s">
        <v>42</v>
      </c>
      <c r="P159" s="6" t="s">
        <v>77</v>
      </c>
      <c r="Q159" s="8" t="s">
        <v>89</v>
      </c>
      <c r="R159" s="10" t="s">
        <v>68</v>
      </c>
      <c r="S159" s="11" t="s">
        <v>1112</v>
      </c>
      <c r="T159" s="6"/>
      <c r="U159" s="27" t="str">
        <f>HYPERLINK("https://media.infra-m.ru/2081/2081978/cover/2081978.jpg", "Обложка")</f>
        <v>Обложка</v>
      </c>
      <c r="V159" s="27" t="str">
        <f>HYPERLINK("https://znanium.com/catalog/product/2000025", "Ознакомиться")</f>
        <v>Ознакомиться</v>
      </c>
      <c r="W159" s="8" t="s">
        <v>269</v>
      </c>
      <c r="X159" s="6"/>
      <c r="Y159" s="6"/>
      <c r="Z159" s="6"/>
      <c r="AA159" s="6" t="s">
        <v>128</v>
      </c>
    </row>
    <row r="160" spans="1:27" s="4" customFormat="1" ht="51.95" customHeight="1">
      <c r="A160" s="5">
        <v>0</v>
      </c>
      <c r="B160" s="6" t="s">
        <v>1113</v>
      </c>
      <c r="C160" s="7">
        <v>1494.9</v>
      </c>
      <c r="D160" s="8" t="s">
        <v>1114</v>
      </c>
      <c r="E160" s="8" t="s">
        <v>1115</v>
      </c>
      <c r="F160" s="8" t="s">
        <v>1116</v>
      </c>
      <c r="G160" s="6" t="s">
        <v>37</v>
      </c>
      <c r="H160" s="6" t="s">
        <v>38</v>
      </c>
      <c r="I160" s="8" t="s">
        <v>173</v>
      </c>
      <c r="J160" s="9">
        <v>1</v>
      </c>
      <c r="K160" s="9">
        <v>320</v>
      </c>
      <c r="L160" s="9">
        <v>2022</v>
      </c>
      <c r="M160" s="8" t="s">
        <v>1117</v>
      </c>
      <c r="N160" s="8" t="s">
        <v>41</v>
      </c>
      <c r="O160" s="8" t="s">
        <v>42</v>
      </c>
      <c r="P160" s="6" t="s">
        <v>150</v>
      </c>
      <c r="Q160" s="8" t="s">
        <v>89</v>
      </c>
      <c r="R160" s="10" t="s">
        <v>1118</v>
      </c>
      <c r="S160" s="11" t="s">
        <v>1119</v>
      </c>
      <c r="T160" s="6"/>
      <c r="U160" s="27" t="str">
        <f>HYPERLINK("https://media.infra-m.ru/1913/1913239/cover/1913239.jpg", "Обложка")</f>
        <v>Обложка</v>
      </c>
      <c r="V160" s="27" t="str">
        <f>HYPERLINK("https://znanium.com/catalog/product/1891828", "Ознакомиться")</f>
        <v>Ознакомиться</v>
      </c>
      <c r="W160" s="8" t="s">
        <v>1120</v>
      </c>
      <c r="X160" s="6"/>
      <c r="Y160" s="6"/>
      <c r="Z160" s="6"/>
      <c r="AA160" s="6" t="s">
        <v>48</v>
      </c>
    </row>
    <row r="161" spans="1:27" s="4" customFormat="1" ht="42" customHeight="1">
      <c r="A161" s="5">
        <v>0</v>
      </c>
      <c r="B161" s="6" t="s">
        <v>1121</v>
      </c>
      <c r="C161" s="7">
        <v>1180</v>
      </c>
      <c r="D161" s="8" t="s">
        <v>1122</v>
      </c>
      <c r="E161" s="8" t="s">
        <v>1123</v>
      </c>
      <c r="F161" s="8" t="s">
        <v>239</v>
      </c>
      <c r="G161" s="6" t="s">
        <v>37</v>
      </c>
      <c r="H161" s="6" t="s">
        <v>38</v>
      </c>
      <c r="I161" s="8" t="s">
        <v>183</v>
      </c>
      <c r="J161" s="9">
        <v>1</v>
      </c>
      <c r="K161" s="9">
        <v>256</v>
      </c>
      <c r="L161" s="9">
        <v>2024</v>
      </c>
      <c r="M161" s="8" t="s">
        <v>1124</v>
      </c>
      <c r="N161" s="8" t="s">
        <v>41</v>
      </c>
      <c r="O161" s="8" t="s">
        <v>42</v>
      </c>
      <c r="P161" s="6" t="s">
        <v>77</v>
      </c>
      <c r="Q161" s="8" t="s">
        <v>316</v>
      </c>
      <c r="R161" s="10" t="s">
        <v>1125</v>
      </c>
      <c r="S161" s="11"/>
      <c r="T161" s="6"/>
      <c r="U161" s="27" t="str">
        <f>HYPERLINK("https://media.infra-m.ru/2075/2075958/cover/2075958.jpg", "Обложка")</f>
        <v>Обложка</v>
      </c>
      <c r="V161" s="27" t="str">
        <f>HYPERLINK("https://znanium.com/catalog/product/2075958", "Ознакомиться")</f>
        <v>Ознакомиться</v>
      </c>
      <c r="W161" s="8" t="s">
        <v>243</v>
      </c>
      <c r="X161" s="6"/>
      <c r="Y161" s="6"/>
      <c r="Z161" s="6"/>
      <c r="AA161" s="6" t="s">
        <v>101</v>
      </c>
    </row>
    <row r="162" spans="1:27" s="4" customFormat="1" ht="51.95" customHeight="1">
      <c r="A162" s="5">
        <v>0</v>
      </c>
      <c r="B162" s="6" t="s">
        <v>1126</v>
      </c>
      <c r="C162" s="7">
        <v>1400</v>
      </c>
      <c r="D162" s="8" t="s">
        <v>1127</v>
      </c>
      <c r="E162" s="8" t="s">
        <v>1128</v>
      </c>
      <c r="F162" s="8" t="s">
        <v>1129</v>
      </c>
      <c r="G162" s="6" t="s">
        <v>37</v>
      </c>
      <c r="H162" s="6" t="s">
        <v>38</v>
      </c>
      <c r="I162" s="8" t="s">
        <v>75</v>
      </c>
      <c r="J162" s="9">
        <v>1</v>
      </c>
      <c r="K162" s="9">
        <v>312</v>
      </c>
      <c r="L162" s="9">
        <v>2022</v>
      </c>
      <c r="M162" s="8" t="s">
        <v>1130</v>
      </c>
      <c r="N162" s="8" t="s">
        <v>41</v>
      </c>
      <c r="O162" s="8" t="s">
        <v>42</v>
      </c>
      <c r="P162" s="6" t="s">
        <v>77</v>
      </c>
      <c r="Q162" s="8" t="s">
        <v>78</v>
      </c>
      <c r="R162" s="10" t="s">
        <v>1131</v>
      </c>
      <c r="S162" s="11" t="s">
        <v>1132</v>
      </c>
      <c r="T162" s="6"/>
      <c r="U162" s="27" t="str">
        <f>HYPERLINK("https://media.infra-m.ru/1843/1843152/cover/1843152.jpg", "Обложка")</f>
        <v>Обложка</v>
      </c>
      <c r="V162" s="27" t="str">
        <f>HYPERLINK("https://znanium.com/catalog/product/1843152", "Ознакомиться")</f>
        <v>Ознакомиться</v>
      </c>
      <c r="W162" s="8" t="s">
        <v>116</v>
      </c>
      <c r="X162" s="6"/>
      <c r="Y162" s="6"/>
      <c r="Z162" s="6" t="s">
        <v>82</v>
      </c>
      <c r="AA162" s="6" t="s">
        <v>372</v>
      </c>
    </row>
    <row r="163" spans="1:27" s="4" customFormat="1" ht="51.95" customHeight="1">
      <c r="A163" s="5">
        <v>0</v>
      </c>
      <c r="B163" s="6" t="s">
        <v>1133</v>
      </c>
      <c r="C163" s="7">
        <v>1400</v>
      </c>
      <c r="D163" s="8" t="s">
        <v>1134</v>
      </c>
      <c r="E163" s="8" t="s">
        <v>1128</v>
      </c>
      <c r="F163" s="8" t="s">
        <v>1129</v>
      </c>
      <c r="G163" s="6" t="s">
        <v>37</v>
      </c>
      <c r="H163" s="6" t="s">
        <v>38</v>
      </c>
      <c r="I163" s="8" t="s">
        <v>173</v>
      </c>
      <c r="J163" s="9">
        <v>1</v>
      </c>
      <c r="K163" s="9">
        <v>312</v>
      </c>
      <c r="L163" s="9">
        <v>2023</v>
      </c>
      <c r="M163" s="8" t="s">
        <v>1135</v>
      </c>
      <c r="N163" s="8" t="s">
        <v>41</v>
      </c>
      <c r="O163" s="8" t="s">
        <v>42</v>
      </c>
      <c r="P163" s="6" t="s">
        <v>77</v>
      </c>
      <c r="Q163" s="8" t="s">
        <v>89</v>
      </c>
      <c r="R163" s="10" t="s">
        <v>1136</v>
      </c>
      <c r="S163" s="11" t="s">
        <v>523</v>
      </c>
      <c r="T163" s="6"/>
      <c r="U163" s="27" t="str">
        <f>HYPERLINK("https://media.infra-m.ru/1015/1015033/cover/1015033.jpg", "Обложка")</f>
        <v>Обложка</v>
      </c>
      <c r="V163" s="27" t="str">
        <f>HYPERLINK("https://znanium.com/catalog/product/1015033", "Ознакомиться")</f>
        <v>Ознакомиться</v>
      </c>
      <c r="W163" s="8" t="s">
        <v>116</v>
      </c>
      <c r="X163" s="6"/>
      <c r="Y163" s="6"/>
      <c r="Z163" s="6"/>
      <c r="AA163" s="6" t="s">
        <v>302</v>
      </c>
    </row>
    <row r="164" spans="1:27" s="4" customFormat="1" ht="51.95" customHeight="1">
      <c r="A164" s="5">
        <v>0</v>
      </c>
      <c r="B164" s="6" t="s">
        <v>1137</v>
      </c>
      <c r="C164" s="13">
        <v>990</v>
      </c>
      <c r="D164" s="8" t="s">
        <v>1138</v>
      </c>
      <c r="E164" s="8" t="s">
        <v>1139</v>
      </c>
      <c r="F164" s="8" t="s">
        <v>1140</v>
      </c>
      <c r="G164" s="6" t="s">
        <v>37</v>
      </c>
      <c r="H164" s="6" t="s">
        <v>38</v>
      </c>
      <c r="I164" s="8" t="s">
        <v>75</v>
      </c>
      <c r="J164" s="9">
        <v>1</v>
      </c>
      <c r="K164" s="9">
        <v>219</v>
      </c>
      <c r="L164" s="9">
        <v>2023</v>
      </c>
      <c r="M164" s="8" t="s">
        <v>1141</v>
      </c>
      <c r="N164" s="8" t="s">
        <v>41</v>
      </c>
      <c r="O164" s="8" t="s">
        <v>42</v>
      </c>
      <c r="P164" s="6" t="s">
        <v>150</v>
      </c>
      <c r="Q164" s="8" t="s">
        <v>78</v>
      </c>
      <c r="R164" s="10" t="s">
        <v>1142</v>
      </c>
      <c r="S164" s="11" t="s">
        <v>1143</v>
      </c>
      <c r="T164" s="6" t="s">
        <v>46</v>
      </c>
      <c r="U164" s="27" t="str">
        <f>HYPERLINK("https://media.infra-m.ru/2002/2002575/cover/2002575.jpg", "Обложка")</f>
        <v>Обложка</v>
      </c>
      <c r="V164" s="27" t="str">
        <f>HYPERLINK("https://znanium.com/catalog/product/2002575", "Ознакомиться")</f>
        <v>Ознакомиться</v>
      </c>
      <c r="W164" s="8" t="s">
        <v>116</v>
      </c>
      <c r="X164" s="6"/>
      <c r="Y164" s="6"/>
      <c r="Z164" s="6" t="s">
        <v>82</v>
      </c>
      <c r="AA164" s="6" t="s">
        <v>83</v>
      </c>
    </row>
    <row r="165" spans="1:27" s="4" customFormat="1" ht="51.95" customHeight="1">
      <c r="A165" s="5">
        <v>0</v>
      </c>
      <c r="B165" s="6" t="s">
        <v>1144</v>
      </c>
      <c r="C165" s="7">
        <v>1024.9000000000001</v>
      </c>
      <c r="D165" s="8" t="s">
        <v>1145</v>
      </c>
      <c r="E165" s="8" t="s">
        <v>1139</v>
      </c>
      <c r="F165" s="8" t="s">
        <v>1140</v>
      </c>
      <c r="G165" s="6" t="s">
        <v>37</v>
      </c>
      <c r="H165" s="6" t="s">
        <v>38</v>
      </c>
      <c r="I165" s="8" t="s">
        <v>173</v>
      </c>
      <c r="J165" s="9">
        <v>1</v>
      </c>
      <c r="K165" s="9">
        <v>219</v>
      </c>
      <c r="L165" s="9">
        <v>2023</v>
      </c>
      <c r="M165" s="8" t="s">
        <v>1146</v>
      </c>
      <c r="N165" s="8" t="s">
        <v>41</v>
      </c>
      <c r="O165" s="8" t="s">
        <v>42</v>
      </c>
      <c r="P165" s="6" t="s">
        <v>150</v>
      </c>
      <c r="Q165" s="8" t="s">
        <v>89</v>
      </c>
      <c r="R165" s="10" t="s">
        <v>1136</v>
      </c>
      <c r="S165" s="11" t="s">
        <v>1147</v>
      </c>
      <c r="T165" s="6" t="s">
        <v>46</v>
      </c>
      <c r="U165" s="27" t="str">
        <f>HYPERLINK("https://media.infra-m.ru/1910/1910443/cover/1910443.jpg", "Обложка")</f>
        <v>Обложка</v>
      </c>
      <c r="V165" s="27" t="str">
        <f>HYPERLINK("https://znanium.com/catalog/product/1880581", "Ознакомиться")</f>
        <v>Ознакомиться</v>
      </c>
      <c r="W165" s="8" t="s">
        <v>116</v>
      </c>
      <c r="X165" s="6"/>
      <c r="Y165" s="6"/>
      <c r="Z165" s="6"/>
      <c r="AA165" s="6" t="s">
        <v>109</v>
      </c>
    </row>
    <row r="166" spans="1:27" s="4" customFormat="1" ht="51.95" customHeight="1">
      <c r="A166" s="5">
        <v>0</v>
      </c>
      <c r="B166" s="6" t="s">
        <v>1148</v>
      </c>
      <c r="C166" s="7">
        <v>1584.9</v>
      </c>
      <c r="D166" s="8" t="s">
        <v>1149</v>
      </c>
      <c r="E166" s="8" t="s">
        <v>1150</v>
      </c>
      <c r="F166" s="8" t="s">
        <v>1151</v>
      </c>
      <c r="G166" s="6" t="s">
        <v>165</v>
      </c>
      <c r="H166" s="6" t="s">
        <v>248</v>
      </c>
      <c r="I166" s="8"/>
      <c r="J166" s="9">
        <v>1</v>
      </c>
      <c r="K166" s="9">
        <v>416</v>
      </c>
      <c r="L166" s="9">
        <v>2022</v>
      </c>
      <c r="M166" s="8" t="s">
        <v>1152</v>
      </c>
      <c r="N166" s="8" t="s">
        <v>56</v>
      </c>
      <c r="O166" s="8" t="s">
        <v>57</v>
      </c>
      <c r="P166" s="6" t="s">
        <v>77</v>
      </c>
      <c r="Q166" s="8" t="s">
        <v>89</v>
      </c>
      <c r="R166" s="10" t="s">
        <v>385</v>
      </c>
      <c r="S166" s="11" t="s">
        <v>1153</v>
      </c>
      <c r="T166" s="6"/>
      <c r="U166" s="27" t="str">
        <f>HYPERLINK("https://media.infra-m.ru/1856/1856988/cover/1856988.jpg", "Обложка")</f>
        <v>Обложка</v>
      </c>
      <c r="V166" s="27" t="str">
        <f>HYPERLINK("https://znanium.com/catalog/product/1408095", "Ознакомиться")</f>
        <v>Ознакомиться</v>
      </c>
      <c r="W166" s="8" t="s">
        <v>47</v>
      </c>
      <c r="X166" s="6"/>
      <c r="Y166" s="6"/>
      <c r="Z166" s="6"/>
      <c r="AA166" s="6" t="s">
        <v>101</v>
      </c>
    </row>
    <row r="167" spans="1:27" s="4" customFormat="1" ht="42" customHeight="1">
      <c r="A167" s="5">
        <v>0</v>
      </c>
      <c r="B167" s="6" t="s">
        <v>1154</v>
      </c>
      <c r="C167" s="13">
        <v>444</v>
      </c>
      <c r="D167" s="8" t="s">
        <v>1155</v>
      </c>
      <c r="E167" s="8" t="s">
        <v>1156</v>
      </c>
      <c r="F167" s="8" t="s">
        <v>1157</v>
      </c>
      <c r="G167" s="6" t="s">
        <v>53</v>
      </c>
      <c r="H167" s="6" t="s">
        <v>87</v>
      </c>
      <c r="I167" s="8"/>
      <c r="J167" s="9">
        <v>1</v>
      </c>
      <c r="K167" s="9">
        <v>88</v>
      </c>
      <c r="L167" s="9">
        <v>2024</v>
      </c>
      <c r="M167" s="8" t="s">
        <v>1158</v>
      </c>
      <c r="N167" s="8" t="s">
        <v>56</v>
      </c>
      <c r="O167" s="8" t="s">
        <v>57</v>
      </c>
      <c r="P167" s="6" t="s">
        <v>77</v>
      </c>
      <c r="Q167" s="8" t="s">
        <v>89</v>
      </c>
      <c r="R167" s="10" t="s">
        <v>1159</v>
      </c>
      <c r="S167" s="11"/>
      <c r="T167" s="6"/>
      <c r="U167" s="27" t="str">
        <f>HYPERLINK("https://media.infra-m.ru/2048/2048907/cover/2048907.jpg", "Обложка")</f>
        <v>Обложка</v>
      </c>
      <c r="V167" s="12"/>
      <c r="W167" s="8" t="s">
        <v>1160</v>
      </c>
      <c r="X167" s="6"/>
      <c r="Y167" s="6"/>
      <c r="Z167" s="6"/>
      <c r="AA167" s="6" t="s">
        <v>250</v>
      </c>
    </row>
    <row r="168" spans="1:27" s="4" customFormat="1" ht="51.95" customHeight="1">
      <c r="A168" s="5">
        <v>0</v>
      </c>
      <c r="B168" s="6" t="s">
        <v>1161</v>
      </c>
      <c r="C168" s="13">
        <v>490</v>
      </c>
      <c r="D168" s="8" t="s">
        <v>1162</v>
      </c>
      <c r="E168" s="8" t="s">
        <v>1163</v>
      </c>
      <c r="F168" s="8" t="s">
        <v>1164</v>
      </c>
      <c r="G168" s="6" t="s">
        <v>53</v>
      </c>
      <c r="H168" s="6" t="s">
        <v>608</v>
      </c>
      <c r="I168" s="8" t="s">
        <v>183</v>
      </c>
      <c r="J168" s="9">
        <v>1</v>
      </c>
      <c r="K168" s="9">
        <v>96</v>
      </c>
      <c r="L168" s="9">
        <v>2024</v>
      </c>
      <c r="M168" s="8" t="s">
        <v>1165</v>
      </c>
      <c r="N168" s="8" t="s">
        <v>41</v>
      </c>
      <c r="O168" s="8" t="s">
        <v>42</v>
      </c>
      <c r="P168" s="6" t="s">
        <v>77</v>
      </c>
      <c r="Q168" s="8" t="s">
        <v>316</v>
      </c>
      <c r="R168" s="10" t="s">
        <v>1166</v>
      </c>
      <c r="S168" s="11"/>
      <c r="T168" s="6"/>
      <c r="U168" s="27" t="str">
        <f>HYPERLINK("https://media.infra-m.ru/1871/1871014/cover/1871014.jpg", "Обложка")</f>
        <v>Обложка</v>
      </c>
      <c r="V168" s="27" t="str">
        <f>HYPERLINK("https://znanium.com/catalog/product/1871014", "Ознакомиться")</f>
        <v>Ознакомиться</v>
      </c>
      <c r="W168" s="8" t="s">
        <v>1167</v>
      </c>
      <c r="X168" s="6"/>
      <c r="Y168" s="6"/>
      <c r="Z168" s="6"/>
      <c r="AA168" s="6" t="s">
        <v>48</v>
      </c>
    </row>
    <row r="169" spans="1:27" s="4" customFormat="1" ht="51.95" customHeight="1">
      <c r="A169" s="5">
        <v>0</v>
      </c>
      <c r="B169" s="6" t="s">
        <v>1168</v>
      </c>
      <c r="C169" s="7">
        <v>1800</v>
      </c>
      <c r="D169" s="8" t="s">
        <v>1169</v>
      </c>
      <c r="E169" s="8" t="s">
        <v>1170</v>
      </c>
      <c r="F169" s="8" t="s">
        <v>1171</v>
      </c>
      <c r="G169" s="6" t="s">
        <v>37</v>
      </c>
      <c r="H169" s="6" t="s">
        <v>878</v>
      </c>
      <c r="I169" s="8" t="s">
        <v>183</v>
      </c>
      <c r="J169" s="9">
        <v>1</v>
      </c>
      <c r="K169" s="9">
        <v>400</v>
      </c>
      <c r="L169" s="9">
        <v>2022</v>
      </c>
      <c r="M169" s="8" t="s">
        <v>1172</v>
      </c>
      <c r="N169" s="8" t="s">
        <v>41</v>
      </c>
      <c r="O169" s="8" t="s">
        <v>42</v>
      </c>
      <c r="P169" s="6" t="s">
        <v>77</v>
      </c>
      <c r="Q169" s="8" t="s">
        <v>124</v>
      </c>
      <c r="R169" s="10" t="s">
        <v>1173</v>
      </c>
      <c r="S169" s="11" t="s">
        <v>1174</v>
      </c>
      <c r="T169" s="6"/>
      <c r="U169" s="27" t="str">
        <f>HYPERLINK("https://media.infra-m.ru/1836/1836581/cover/1836581.jpg", "Обложка")</f>
        <v>Обложка</v>
      </c>
      <c r="V169" s="27" t="str">
        <f>HYPERLINK("https://znanium.com/catalog/product/1836581", "Ознакомиться")</f>
        <v>Ознакомиться</v>
      </c>
      <c r="W169" s="8" t="s">
        <v>1175</v>
      </c>
      <c r="X169" s="6"/>
      <c r="Y169" s="6"/>
      <c r="Z169" s="6"/>
      <c r="AA169" s="6" t="s">
        <v>109</v>
      </c>
    </row>
    <row r="170" spans="1:27" s="4" customFormat="1" ht="51.95" customHeight="1">
      <c r="A170" s="5">
        <v>0</v>
      </c>
      <c r="B170" s="6" t="s">
        <v>1176</v>
      </c>
      <c r="C170" s="7">
        <v>1390</v>
      </c>
      <c r="D170" s="8" t="s">
        <v>1177</v>
      </c>
      <c r="E170" s="8" t="s">
        <v>1178</v>
      </c>
      <c r="F170" s="8" t="s">
        <v>1179</v>
      </c>
      <c r="G170" s="6" t="s">
        <v>37</v>
      </c>
      <c r="H170" s="6" t="s">
        <v>38</v>
      </c>
      <c r="I170" s="8" t="s">
        <v>183</v>
      </c>
      <c r="J170" s="9">
        <v>1</v>
      </c>
      <c r="K170" s="9">
        <v>304</v>
      </c>
      <c r="L170" s="9">
        <v>2024</v>
      </c>
      <c r="M170" s="8" t="s">
        <v>1180</v>
      </c>
      <c r="N170" s="8" t="s">
        <v>56</v>
      </c>
      <c r="O170" s="8" t="s">
        <v>57</v>
      </c>
      <c r="P170" s="6" t="s">
        <v>77</v>
      </c>
      <c r="Q170" s="8" t="s">
        <v>89</v>
      </c>
      <c r="R170" s="10" t="s">
        <v>1181</v>
      </c>
      <c r="S170" s="11" t="s">
        <v>1182</v>
      </c>
      <c r="T170" s="6"/>
      <c r="U170" s="27" t="str">
        <f>HYPERLINK("https://media.infra-m.ru/1880/1880583/cover/1880583.jpg", "Обложка")</f>
        <v>Обложка</v>
      </c>
      <c r="V170" s="27" t="str">
        <f>HYPERLINK("https://znanium.com/catalog/product/1880583", "Ознакомиться")</f>
        <v>Ознакомиться</v>
      </c>
      <c r="W170" s="8" t="s">
        <v>503</v>
      </c>
      <c r="X170" s="6"/>
      <c r="Y170" s="6"/>
      <c r="Z170" s="6"/>
      <c r="AA170" s="6" t="s">
        <v>250</v>
      </c>
    </row>
    <row r="171" spans="1:27" s="4" customFormat="1" ht="44.1" customHeight="1">
      <c r="A171" s="5">
        <v>0</v>
      </c>
      <c r="B171" s="6" t="s">
        <v>1183</v>
      </c>
      <c r="C171" s="7">
        <v>1370</v>
      </c>
      <c r="D171" s="8" t="s">
        <v>1184</v>
      </c>
      <c r="E171" s="8" t="s">
        <v>1185</v>
      </c>
      <c r="F171" s="8" t="s">
        <v>1186</v>
      </c>
      <c r="G171" s="6" t="s">
        <v>53</v>
      </c>
      <c r="H171" s="6" t="s">
        <v>38</v>
      </c>
      <c r="I171" s="8" t="s">
        <v>54</v>
      </c>
      <c r="J171" s="9">
        <v>1</v>
      </c>
      <c r="K171" s="9">
        <v>296</v>
      </c>
      <c r="L171" s="9">
        <v>2024</v>
      </c>
      <c r="M171" s="8" t="s">
        <v>1187</v>
      </c>
      <c r="N171" s="8" t="s">
        <v>41</v>
      </c>
      <c r="O171" s="8" t="s">
        <v>42</v>
      </c>
      <c r="P171" s="6" t="s">
        <v>58</v>
      </c>
      <c r="Q171" s="8" t="s">
        <v>44</v>
      </c>
      <c r="R171" s="10" t="s">
        <v>1188</v>
      </c>
      <c r="S171" s="11"/>
      <c r="T171" s="6"/>
      <c r="U171" s="27" t="str">
        <f>HYPERLINK("https://media.infra-m.ru/2109/2109543/cover/2109543.jpg", "Обложка")</f>
        <v>Обложка</v>
      </c>
      <c r="V171" s="27" t="str">
        <f>HYPERLINK("https://znanium.com/catalog/product/2109543", "Ознакомиться")</f>
        <v>Ознакомиться</v>
      </c>
      <c r="W171" s="8" t="s">
        <v>1189</v>
      </c>
      <c r="X171" s="6"/>
      <c r="Y171" s="6"/>
      <c r="Z171" s="6"/>
      <c r="AA171" s="6" t="s">
        <v>83</v>
      </c>
    </row>
    <row r="172" spans="1:27" s="4" customFormat="1" ht="51.95" customHeight="1">
      <c r="A172" s="5">
        <v>0</v>
      </c>
      <c r="B172" s="6" t="s">
        <v>1190</v>
      </c>
      <c r="C172" s="7">
        <v>1604.9</v>
      </c>
      <c r="D172" s="8" t="s">
        <v>1191</v>
      </c>
      <c r="E172" s="8" t="s">
        <v>1192</v>
      </c>
      <c r="F172" s="8" t="s">
        <v>1193</v>
      </c>
      <c r="G172" s="6" t="s">
        <v>37</v>
      </c>
      <c r="H172" s="6" t="s">
        <v>38</v>
      </c>
      <c r="I172" s="8" t="s">
        <v>122</v>
      </c>
      <c r="J172" s="9">
        <v>1</v>
      </c>
      <c r="K172" s="9">
        <v>351</v>
      </c>
      <c r="L172" s="9">
        <v>2023</v>
      </c>
      <c r="M172" s="8" t="s">
        <v>1194</v>
      </c>
      <c r="N172" s="8" t="s">
        <v>41</v>
      </c>
      <c r="O172" s="8" t="s">
        <v>42</v>
      </c>
      <c r="P172" s="6" t="s">
        <v>77</v>
      </c>
      <c r="Q172" s="8" t="s">
        <v>124</v>
      </c>
      <c r="R172" s="10" t="s">
        <v>1195</v>
      </c>
      <c r="S172" s="11" t="s">
        <v>1196</v>
      </c>
      <c r="T172" s="6" t="s">
        <v>46</v>
      </c>
      <c r="U172" s="27" t="str">
        <f>HYPERLINK("https://media.infra-m.ru/1972/1972688/cover/1972688.jpg", "Обложка")</f>
        <v>Обложка</v>
      </c>
      <c r="V172" s="27" t="str">
        <f>HYPERLINK("https://znanium.com/catalog/product/980302", "Ознакомиться")</f>
        <v>Ознакомиться</v>
      </c>
      <c r="W172" s="8" t="s">
        <v>1197</v>
      </c>
      <c r="X172" s="6"/>
      <c r="Y172" s="6"/>
      <c r="Z172" s="6"/>
      <c r="AA172" s="6" t="s">
        <v>70</v>
      </c>
    </row>
    <row r="173" spans="1:27" s="4" customFormat="1" ht="51.95" customHeight="1">
      <c r="A173" s="5">
        <v>0</v>
      </c>
      <c r="B173" s="6" t="s">
        <v>1198</v>
      </c>
      <c r="C173" s="13">
        <v>950</v>
      </c>
      <c r="D173" s="8" t="s">
        <v>1199</v>
      </c>
      <c r="E173" s="8" t="s">
        <v>1200</v>
      </c>
      <c r="F173" s="8" t="s">
        <v>1201</v>
      </c>
      <c r="G173" s="6" t="s">
        <v>53</v>
      </c>
      <c r="H173" s="6" t="s">
        <v>38</v>
      </c>
      <c r="I173" s="8" t="s">
        <v>54</v>
      </c>
      <c r="J173" s="9">
        <v>1</v>
      </c>
      <c r="K173" s="9">
        <v>205</v>
      </c>
      <c r="L173" s="9">
        <v>2023</v>
      </c>
      <c r="M173" s="8" t="s">
        <v>1202</v>
      </c>
      <c r="N173" s="8" t="s">
        <v>41</v>
      </c>
      <c r="O173" s="8" t="s">
        <v>42</v>
      </c>
      <c r="P173" s="6" t="s">
        <v>58</v>
      </c>
      <c r="Q173" s="8" t="s">
        <v>44</v>
      </c>
      <c r="R173" s="10" t="s">
        <v>766</v>
      </c>
      <c r="S173" s="11"/>
      <c r="T173" s="6" t="s">
        <v>46</v>
      </c>
      <c r="U173" s="27" t="str">
        <f>HYPERLINK("https://media.infra-m.ru/2018/2018243/cover/2018243.jpg", "Обложка")</f>
        <v>Обложка</v>
      </c>
      <c r="V173" s="27" t="str">
        <f>HYPERLINK("https://znanium.com/catalog/product/2018243", "Ознакомиться")</f>
        <v>Ознакомиться</v>
      </c>
      <c r="W173" s="8" t="s">
        <v>454</v>
      </c>
      <c r="X173" s="6"/>
      <c r="Y173" s="6"/>
      <c r="Z173" s="6"/>
      <c r="AA173" s="6" t="s">
        <v>101</v>
      </c>
    </row>
    <row r="174" spans="1:27" s="4" customFormat="1" ht="51.95" customHeight="1">
      <c r="A174" s="5">
        <v>0</v>
      </c>
      <c r="B174" s="6" t="s">
        <v>1203</v>
      </c>
      <c r="C174" s="7">
        <v>1830</v>
      </c>
      <c r="D174" s="8" t="s">
        <v>1204</v>
      </c>
      <c r="E174" s="8" t="s">
        <v>1205</v>
      </c>
      <c r="F174" s="8" t="s">
        <v>1206</v>
      </c>
      <c r="G174" s="6" t="s">
        <v>53</v>
      </c>
      <c r="H174" s="6" t="s">
        <v>38</v>
      </c>
      <c r="I174" s="8" t="s">
        <v>183</v>
      </c>
      <c r="J174" s="9">
        <v>1</v>
      </c>
      <c r="K174" s="9">
        <v>400</v>
      </c>
      <c r="L174" s="9">
        <v>2023</v>
      </c>
      <c r="M174" s="8" t="s">
        <v>1207</v>
      </c>
      <c r="N174" s="8" t="s">
        <v>41</v>
      </c>
      <c r="O174" s="8" t="s">
        <v>42</v>
      </c>
      <c r="P174" s="6" t="s">
        <v>77</v>
      </c>
      <c r="Q174" s="8" t="s">
        <v>316</v>
      </c>
      <c r="R174" s="10" t="s">
        <v>1208</v>
      </c>
      <c r="S174" s="11" t="s">
        <v>1209</v>
      </c>
      <c r="T174" s="6"/>
      <c r="U174" s="27" t="str">
        <f>HYPERLINK("https://media.infra-m.ru/1899/1899871/cover/1899871.jpg", "Обложка")</f>
        <v>Обложка</v>
      </c>
      <c r="V174" s="27" t="str">
        <f>HYPERLINK("https://znanium.com/catalog/product/1899871", "Ознакомиться")</f>
        <v>Ознакомиться</v>
      </c>
      <c r="W174" s="8" t="s">
        <v>444</v>
      </c>
      <c r="X174" s="6"/>
      <c r="Y174" s="6"/>
      <c r="Z174" s="6"/>
      <c r="AA174" s="6" t="s">
        <v>109</v>
      </c>
    </row>
    <row r="175" spans="1:27" s="4" customFormat="1" ht="51.95" customHeight="1">
      <c r="A175" s="5">
        <v>0</v>
      </c>
      <c r="B175" s="6" t="s">
        <v>1210</v>
      </c>
      <c r="C175" s="13">
        <v>860</v>
      </c>
      <c r="D175" s="8" t="s">
        <v>1211</v>
      </c>
      <c r="E175" s="8" t="s">
        <v>1212</v>
      </c>
      <c r="F175" s="8" t="s">
        <v>1213</v>
      </c>
      <c r="G175" s="6" t="s">
        <v>37</v>
      </c>
      <c r="H175" s="6" t="s">
        <v>87</v>
      </c>
      <c r="I175" s="8" t="s">
        <v>173</v>
      </c>
      <c r="J175" s="9">
        <v>1</v>
      </c>
      <c r="K175" s="9">
        <v>192</v>
      </c>
      <c r="L175" s="9">
        <v>2023</v>
      </c>
      <c r="M175" s="8" t="s">
        <v>1214</v>
      </c>
      <c r="N175" s="8" t="s">
        <v>41</v>
      </c>
      <c r="O175" s="8" t="s">
        <v>42</v>
      </c>
      <c r="P175" s="6" t="s">
        <v>185</v>
      </c>
      <c r="Q175" s="8" t="s">
        <v>89</v>
      </c>
      <c r="R175" s="10" t="s">
        <v>1215</v>
      </c>
      <c r="S175" s="11" t="s">
        <v>1216</v>
      </c>
      <c r="T175" s="6"/>
      <c r="U175" s="27" t="str">
        <f>HYPERLINK("https://media.infra-m.ru/1912/1912797/cover/1912797.jpg", "Обложка")</f>
        <v>Обложка</v>
      </c>
      <c r="V175" s="27" t="str">
        <f>HYPERLINK("https://znanium.com/catalog/product/2082907", "Ознакомиться")</f>
        <v>Ознакомиться</v>
      </c>
      <c r="W175" s="8" t="s">
        <v>444</v>
      </c>
      <c r="X175" s="6"/>
      <c r="Y175" s="6"/>
      <c r="Z175" s="6"/>
      <c r="AA175" s="6" t="s">
        <v>208</v>
      </c>
    </row>
    <row r="176" spans="1:27" s="4" customFormat="1" ht="44.1" customHeight="1">
      <c r="A176" s="5">
        <v>0</v>
      </c>
      <c r="B176" s="6" t="s">
        <v>1217</v>
      </c>
      <c r="C176" s="13">
        <v>670</v>
      </c>
      <c r="D176" s="8" t="s">
        <v>1218</v>
      </c>
      <c r="E176" s="8" t="s">
        <v>1219</v>
      </c>
      <c r="F176" s="8" t="s">
        <v>1220</v>
      </c>
      <c r="G176" s="6" t="s">
        <v>53</v>
      </c>
      <c r="H176" s="6" t="s">
        <v>38</v>
      </c>
      <c r="I176" s="8" t="s">
        <v>54</v>
      </c>
      <c r="J176" s="9">
        <v>1</v>
      </c>
      <c r="K176" s="9">
        <v>145</v>
      </c>
      <c r="L176" s="9">
        <v>2024</v>
      </c>
      <c r="M176" s="8" t="s">
        <v>1221</v>
      </c>
      <c r="N176" s="8" t="s">
        <v>41</v>
      </c>
      <c r="O176" s="8" t="s">
        <v>42</v>
      </c>
      <c r="P176" s="6" t="s">
        <v>58</v>
      </c>
      <c r="Q176" s="8" t="s">
        <v>44</v>
      </c>
      <c r="R176" s="10" t="s">
        <v>1222</v>
      </c>
      <c r="S176" s="11"/>
      <c r="T176" s="6"/>
      <c r="U176" s="27" t="str">
        <f>HYPERLINK("https://media.infra-m.ru/2096/2096823/cover/2096823.jpg", "Обложка")</f>
        <v>Обложка</v>
      </c>
      <c r="V176" s="27" t="str">
        <f>HYPERLINK("https://znanium.com/catalog/product/2096823", "Ознакомиться")</f>
        <v>Ознакомиться</v>
      </c>
      <c r="W176" s="8" t="s">
        <v>483</v>
      </c>
      <c r="X176" s="6"/>
      <c r="Y176" s="6"/>
      <c r="Z176" s="6"/>
      <c r="AA176" s="6" t="s">
        <v>83</v>
      </c>
    </row>
    <row r="177" spans="1:27" s="4" customFormat="1" ht="51.95" customHeight="1">
      <c r="A177" s="5">
        <v>0</v>
      </c>
      <c r="B177" s="6" t="s">
        <v>1223</v>
      </c>
      <c r="C177" s="7">
        <v>2300</v>
      </c>
      <c r="D177" s="8" t="s">
        <v>1224</v>
      </c>
      <c r="E177" s="8" t="s">
        <v>1225</v>
      </c>
      <c r="F177" s="8" t="s">
        <v>147</v>
      </c>
      <c r="G177" s="6" t="s">
        <v>165</v>
      </c>
      <c r="H177" s="6" t="s">
        <v>38</v>
      </c>
      <c r="I177" s="8" t="s">
        <v>148</v>
      </c>
      <c r="J177" s="9">
        <v>1</v>
      </c>
      <c r="K177" s="9">
        <v>510</v>
      </c>
      <c r="L177" s="9">
        <v>2023</v>
      </c>
      <c r="M177" s="8" t="s">
        <v>1226</v>
      </c>
      <c r="N177" s="8" t="s">
        <v>41</v>
      </c>
      <c r="O177" s="8" t="s">
        <v>42</v>
      </c>
      <c r="P177" s="6" t="s">
        <v>584</v>
      </c>
      <c r="Q177" s="8" t="s">
        <v>961</v>
      </c>
      <c r="R177" s="10" t="s">
        <v>1227</v>
      </c>
      <c r="S177" s="11" t="s">
        <v>1228</v>
      </c>
      <c r="T177" s="6" t="s">
        <v>46</v>
      </c>
      <c r="U177" s="27" t="str">
        <f>HYPERLINK("https://media.infra-m.ru/1896/1896455/cover/1896455.jpg", "Обложка")</f>
        <v>Обложка</v>
      </c>
      <c r="V177" s="27" t="str">
        <f>HYPERLINK("https://znanium.com/catalog/product/1896455", "Ознакомиться")</f>
        <v>Ознакомиться</v>
      </c>
      <c r="W177" s="8" t="s">
        <v>154</v>
      </c>
      <c r="X177" s="6" t="s">
        <v>1229</v>
      </c>
      <c r="Y177" s="6"/>
      <c r="Z177" s="6"/>
      <c r="AA177" s="6" t="s">
        <v>1230</v>
      </c>
    </row>
    <row r="178" spans="1:27" s="4" customFormat="1" ht="51.95" customHeight="1">
      <c r="A178" s="5">
        <v>0</v>
      </c>
      <c r="B178" s="6" t="s">
        <v>1231</v>
      </c>
      <c r="C178" s="13">
        <v>750</v>
      </c>
      <c r="D178" s="8" t="s">
        <v>1232</v>
      </c>
      <c r="E178" s="8" t="s">
        <v>1233</v>
      </c>
      <c r="F178" s="8" t="s">
        <v>1234</v>
      </c>
      <c r="G178" s="6" t="s">
        <v>53</v>
      </c>
      <c r="H178" s="6" t="s">
        <v>38</v>
      </c>
      <c r="I178" s="8" t="s">
        <v>54</v>
      </c>
      <c r="J178" s="9">
        <v>1</v>
      </c>
      <c r="K178" s="9">
        <v>192</v>
      </c>
      <c r="L178" s="9">
        <v>2021</v>
      </c>
      <c r="M178" s="8" t="s">
        <v>1235</v>
      </c>
      <c r="N178" s="8" t="s">
        <v>41</v>
      </c>
      <c r="O178" s="8" t="s">
        <v>42</v>
      </c>
      <c r="P178" s="6" t="s">
        <v>58</v>
      </c>
      <c r="Q178" s="8" t="s">
        <v>44</v>
      </c>
      <c r="R178" s="10" t="s">
        <v>1236</v>
      </c>
      <c r="S178" s="11"/>
      <c r="T178" s="6"/>
      <c r="U178" s="27" t="str">
        <f>HYPERLINK("https://media.infra-m.ru/1371/1371146/cover/1371146.jpg", "Обложка")</f>
        <v>Обложка</v>
      </c>
      <c r="V178" s="27" t="str">
        <f>HYPERLINK("https://znanium.com/catalog/product/1371146", "Ознакомиться")</f>
        <v>Ознакомиться</v>
      </c>
      <c r="W178" s="8" t="s">
        <v>177</v>
      </c>
      <c r="X178" s="6"/>
      <c r="Y178" s="6"/>
      <c r="Z178" s="6"/>
      <c r="AA178" s="6" t="s">
        <v>128</v>
      </c>
    </row>
    <row r="179" spans="1:27" s="4" customFormat="1" ht="42" customHeight="1">
      <c r="A179" s="5">
        <v>0</v>
      </c>
      <c r="B179" s="6" t="s">
        <v>1237</v>
      </c>
      <c r="C179" s="7">
        <v>1980</v>
      </c>
      <c r="D179" s="8" t="s">
        <v>1238</v>
      </c>
      <c r="E179" s="8" t="s">
        <v>1239</v>
      </c>
      <c r="F179" s="8"/>
      <c r="G179" s="6" t="s">
        <v>53</v>
      </c>
      <c r="H179" s="6" t="s">
        <v>38</v>
      </c>
      <c r="I179" s="8"/>
      <c r="J179" s="9">
        <v>1</v>
      </c>
      <c r="K179" s="9">
        <v>52</v>
      </c>
      <c r="L179" s="9">
        <v>2023</v>
      </c>
      <c r="M179" s="8"/>
      <c r="N179" s="8" t="s">
        <v>41</v>
      </c>
      <c r="O179" s="8" t="s">
        <v>42</v>
      </c>
      <c r="P179" s="6" t="s">
        <v>1240</v>
      </c>
      <c r="Q179" s="8"/>
      <c r="R179" s="10"/>
      <c r="S179" s="11"/>
      <c r="T179" s="6"/>
      <c r="U179" s="27" t="str">
        <f>HYPERLINK("https://media.infra-m.ru/1902/1902947/cover/1902947.jpg", "Обложка")</f>
        <v>Обложка</v>
      </c>
      <c r="V179" s="27" t="str">
        <f>HYPERLINK("https://znanium.com/catalog/product/470826", "Ознакомиться")</f>
        <v>Ознакомиться</v>
      </c>
      <c r="W179" s="8"/>
      <c r="X179" s="6" t="s">
        <v>468</v>
      </c>
      <c r="Y179" s="6"/>
      <c r="Z179" s="6"/>
      <c r="AA179" s="6" t="s">
        <v>101</v>
      </c>
    </row>
    <row r="180" spans="1:27" s="4" customFormat="1" ht="51.95" customHeight="1">
      <c r="A180" s="5">
        <v>0</v>
      </c>
      <c r="B180" s="6" t="s">
        <v>1241</v>
      </c>
      <c r="C180" s="13">
        <v>684</v>
      </c>
      <c r="D180" s="8" t="s">
        <v>1242</v>
      </c>
      <c r="E180" s="8" t="s">
        <v>1243</v>
      </c>
      <c r="F180" s="8" t="s">
        <v>1244</v>
      </c>
      <c r="G180" s="6" t="s">
        <v>53</v>
      </c>
      <c r="H180" s="6" t="s">
        <v>38</v>
      </c>
      <c r="I180" s="8" t="s">
        <v>54</v>
      </c>
      <c r="J180" s="9">
        <v>1</v>
      </c>
      <c r="K180" s="9">
        <v>100</v>
      </c>
      <c r="L180" s="9">
        <v>2023</v>
      </c>
      <c r="M180" s="8" t="s">
        <v>1245</v>
      </c>
      <c r="N180" s="8" t="s">
        <v>41</v>
      </c>
      <c r="O180" s="8" t="s">
        <v>42</v>
      </c>
      <c r="P180" s="6" t="s">
        <v>58</v>
      </c>
      <c r="Q180" s="8" t="s">
        <v>44</v>
      </c>
      <c r="R180" s="10" t="s">
        <v>1246</v>
      </c>
      <c r="S180" s="11"/>
      <c r="T180" s="6"/>
      <c r="U180" s="27" t="str">
        <f>HYPERLINK("https://media.infra-m.ru/1976/1976165/cover/1976165.jpg", "Обложка")</f>
        <v>Обложка</v>
      </c>
      <c r="V180" s="27" t="str">
        <f>HYPERLINK("https://znanium.com/catalog/product/1027265", "Ознакомиться")</f>
        <v>Ознакомиться</v>
      </c>
      <c r="W180" s="8" t="s">
        <v>1247</v>
      </c>
      <c r="X180" s="6"/>
      <c r="Y180" s="6"/>
      <c r="Z180" s="6"/>
      <c r="AA180" s="6" t="s">
        <v>543</v>
      </c>
    </row>
    <row r="181" spans="1:27" s="4" customFormat="1" ht="42" customHeight="1">
      <c r="A181" s="5">
        <v>0</v>
      </c>
      <c r="B181" s="6" t="s">
        <v>1248</v>
      </c>
      <c r="C181" s="13">
        <v>774</v>
      </c>
      <c r="D181" s="8" t="s">
        <v>1249</v>
      </c>
      <c r="E181" s="8" t="s">
        <v>1250</v>
      </c>
      <c r="F181" s="8" t="s">
        <v>1251</v>
      </c>
      <c r="G181" s="6" t="s">
        <v>53</v>
      </c>
      <c r="H181" s="6" t="s">
        <v>38</v>
      </c>
      <c r="I181" s="8" t="s">
        <v>54</v>
      </c>
      <c r="J181" s="9">
        <v>1</v>
      </c>
      <c r="K181" s="9">
        <v>166</v>
      </c>
      <c r="L181" s="9">
        <v>2023</v>
      </c>
      <c r="M181" s="8" t="s">
        <v>1252</v>
      </c>
      <c r="N181" s="8" t="s">
        <v>41</v>
      </c>
      <c r="O181" s="8" t="s">
        <v>42</v>
      </c>
      <c r="P181" s="6" t="s">
        <v>58</v>
      </c>
      <c r="Q181" s="8" t="s">
        <v>44</v>
      </c>
      <c r="R181" s="10" t="s">
        <v>1253</v>
      </c>
      <c r="S181" s="11"/>
      <c r="T181" s="6"/>
      <c r="U181" s="27" t="str">
        <f>HYPERLINK("https://media.infra-m.ru/1965/1965759/cover/1965759.jpg", "Обложка")</f>
        <v>Обложка</v>
      </c>
      <c r="V181" s="27" t="str">
        <f>HYPERLINK("https://znanium.com/catalog/product/1012285", "Ознакомиться")</f>
        <v>Ознакомиться</v>
      </c>
      <c r="W181" s="8" t="s">
        <v>1254</v>
      </c>
      <c r="X181" s="6"/>
      <c r="Y181" s="6"/>
      <c r="Z181" s="6"/>
      <c r="AA181" s="6" t="s">
        <v>70</v>
      </c>
    </row>
    <row r="182" spans="1:27" s="4" customFormat="1" ht="44.1" customHeight="1">
      <c r="A182" s="5">
        <v>0</v>
      </c>
      <c r="B182" s="6" t="s">
        <v>1255</v>
      </c>
      <c r="C182" s="13">
        <v>900</v>
      </c>
      <c r="D182" s="8" t="s">
        <v>1256</v>
      </c>
      <c r="E182" s="8" t="s">
        <v>1257</v>
      </c>
      <c r="F182" s="8" t="s">
        <v>1258</v>
      </c>
      <c r="G182" s="6" t="s">
        <v>53</v>
      </c>
      <c r="H182" s="6" t="s">
        <v>38</v>
      </c>
      <c r="I182" s="8" t="s">
        <v>54</v>
      </c>
      <c r="J182" s="9">
        <v>1</v>
      </c>
      <c r="K182" s="9">
        <v>187</v>
      </c>
      <c r="L182" s="9">
        <v>2024</v>
      </c>
      <c r="M182" s="8" t="s">
        <v>1259</v>
      </c>
      <c r="N182" s="8" t="s">
        <v>41</v>
      </c>
      <c r="O182" s="8" t="s">
        <v>42</v>
      </c>
      <c r="P182" s="6" t="s">
        <v>58</v>
      </c>
      <c r="Q182" s="8" t="s">
        <v>44</v>
      </c>
      <c r="R182" s="10" t="s">
        <v>1260</v>
      </c>
      <c r="S182" s="11"/>
      <c r="T182" s="6"/>
      <c r="U182" s="27" t="str">
        <f>HYPERLINK("https://media.infra-m.ru/1989/1989263/cover/1989263.jpg", "Обложка")</f>
        <v>Обложка</v>
      </c>
      <c r="V182" s="27" t="str">
        <f>HYPERLINK("https://znanium.com/catalog/product/1989263", "Ознакомиться")</f>
        <v>Ознакомиться</v>
      </c>
      <c r="W182" s="8" t="s">
        <v>1261</v>
      </c>
      <c r="X182" s="6" t="s">
        <v>468</v>
      </c>
      <c r="Y182" s="6"/>
      <c r="Z182" s="6"/>
      <c r="AA182" s="6" t="s">
        <v>270</v>
      </c>
    </row>
    <row r="183" spans="1:27" s="4" customFormat="1" ht="42" customHeight="1">
      <c r="A183" s="5">
        <v>0</v>
      </c>
      <c r="B183" s="6" t="s">
        <v>1262</v>
      </c>
      <c r="C183" s="13">
        <v>770</v>
      </c>
      <c r="D183" s="8" t="s">
        <v>1263</v>
      </c>
      <c r="E183" s="8" t="s">
        <v>1264</v>
      </c>
      <c r="F183" s="8" t="s">
        <v>1265</v>
      </c>
      <c r="G183" s="6" t="s">
        <v>37</v>
      </c>
      <c r="H183" s="6" t="s">
        <v>38</v>
      </c>
      <c r="I183" s="8" t="s">
        <v>39</v>
      </c>
      <c r="J183" s="9">
        <v>1</v>
      </c>
      <c r="K183" s="9">
        <v>167</v>
      </c>
      <c r="L183" s="9">
        <v>2023</v>
      </c>
      <c r="M183" s="8" t="s">
        <v>1266</v>
      </c>
      <c r="N183" s="8" t="s">
        <v>41</v>
      </c>
      <c r="O183" s="8" t="s">
        <v>42</v>
      </c>
      <c r="P183" s="6" t="s">
        <v>1267</v>
      </c>
      <c r="Q183" s="8" t="s">
        <v>89</v>
      </c>
      <c r="R183" s="10" t="s">
        <v>1268</v>
      </c>
      <c r="S183" s="11"/>
      <c r="T183" s="6"/>
      <c r="U183" s="27" t="str">
        <f>HYPERLINK("https://media.infra-m.ru/1934/1934009/cover/1934009.jpg", "Обложка")</f>
        <v>Обложка</v>
      </c>
      <c r="V183" s="27" t="str">
        <f>HYPERLINK("https://znanium.com/catalog/product/1934009", "Ознакомиться")</f>
        <v>Ознакомиться</v>
      </c>
      <c r="W183" s="8" t="s">
        <v>116</v>
      </c>
      <c r="X183" s="6"/>
      <c r="Y183" s="6"/>
      <c r="Z183" s="6"/>
      <c r="AA183" s="6" t="s">
        <v>70</v>
      </c>
    </row>
    <row r="184" spans="1:27" s="4" customFormat="1" ht="51.95" customHeight="1">
      <c r="A184" s="5">
        <v>0</v>
      </c>
      <c r="B184" s="6" t="s">
        <v>1269</v>
      </c>
      <c r="C184" s="7">
        <v>1440</v>
      </c>
      <c r="D184" s="8" t="s">
        <v>1270</v>
      </c>
      <c r="E184" s="8" t="s">
        <v>1271</v>
      </c>
      <c r="F184" s="8" t="s">
        <v>1035</v>
      </c>
      <c r="G184" s="6" t="s">
        <v>37</v>
      </c>
      <c r="H184" s="6" t="s">
        <v>38</v>
      </c>
      <c r="I184" s="8" t="s">
        <v>75</v>
      </c>
      <c r="J184" s="9">
        <v>1</v>
      </c>
      <c r="K184" s="9">
        <v>320</v>
      </c>
      <c r="L184" s="9">
        <v>2023</v>
      </c>
      <c r="M184" s="8" t="s">
        <v>1272</v>
      </c>
      <c r="N184" s="8" t="s">
        <v>41</v>
      </c>
      <c r="O184" s="8" t="s">
        <v>42</v>
      </c>
      <c r="P184" s="6" t="s">
        <v>185</v>
      </c>
      <c r="Q184" s="8" t="s">
        <v>78</v>
      </c>
      <c r="R184" s="10" t="s">
        <v>474</v>
      </c>
      <c r="S184" s="11" t="s">
        <v>1273</v>
      </c>
      <c r="T184" s="6"/>
      <c r="U184" s="27" t="str">
        <f>HYPERLINK("https://media.infra-m.ru/2008/2008785/cover/2008785.jpg", "Обложка")</f>
        <v>Обложка</v>
      </c>
      <c r="V184" s="27" t="str">
        <f>HYPERLINK("https://znanium.com/catalog/product/2008785", "Ознакомиться")</f>
        <v>Ознакомиться</v>
      </c>
      <c r="W184" s="8"/>
      <c r="X184" s="6"/>
      <c r="Y184" s="6"/>
      <c r="Z184" s="6" t="s">
        <v>903</v>
      </c>
      <c r="AA184" s="6" t="s">
        <v>543</v>
      </c>
    </row>
    <row r="185" spans="1:27" s="4" customFormat="1" ht="42" customHeight="1">
      <c r="A185" s="5">
        <v>0</v>
      </c>
      <c r="B185" s="6" t="s">
        <v>1274</v>
      </c>
      <c r="C185" s="7">
        <v>1440</v>
      </c>
      <c r="D185" s="8" t="s">
        <v>1275</v>
      </c>
      <c r="E185" s="8" t="s">
        <v>1271</v>
      </c>
      <c r="F185" s="8" t="s">
        <v>1035</v>
      </c>
      <c r="G185" s="6" t="s">
        <v>37</v>
      </c>
      <c r="H185" s="6" t="s">
        <v>38</v>
      </c>
      <c r="I185" s="8" t="s">
        <v>39</v>
      </c>
      <c r="J185" s="9">
        <v>1</v>
      </c>
      <c r="K185" s="9">
        <v>319</v>
      </c>
      <c r="L185" s="9">
        <v>2023</v>
      </c>
      <c r="M185" s="8" t="s">
        <v>1276</v>
      </c>
      <c r="N185" s="8" t="s">
        <v>41</v>
      </c>
      <c r="O185" s="8" t="s">
        <v>42</v>
      </c>
      <c r="P185" s="6" t="s">
        <v>541</v>
      </c>
      <c r="Q185" s="8" t="s">
        <v>44</v>
      </c>
      <c r="R185" s="10" t="s">
        <v>295</v>
      </c>
      <c r="S185" s="11"/>
      <c r="T185" s="6"/>
      <c r="U185" s="27" t="str">
        <f>HYPERLINK("https://media.infra-m.ru/1930/1930695/cover/1930695.jpg", "Обложка")</f>
        <v>Обложка</v>
      </c>
      <c r="V185" s="27" t="str">
        <f>HYPERLINK("https://znanium.com/catalog/product/1930695", "Ознакомиться")</f>
        <v>Ознакомиться</v>
      </c>
      <c r="W185" s="8"/>
      <c r="X185" s="6"/>
      <c r="Y185" s="6"/>
      <c r="Z185" s="6"/>
      <c r="AA185" s="6" t="s">
        <v>302</v>
      </c>
    </row>
    <row r="186" spans="1:27" s="4" customFormat="1" ht="44.1" customHeight="1">
      <c r="A186" s="5">
        <v>0</v>
      </c>
      <c r="B186" s="6" t="s">
        <v>1277</v>
      </c>
      <c r="C186" s="13">
        <v>820</v>
      </c>
      <c r="D186" s="8" t="s">
        <v>1278</v>
      </c>
      <c r="E186" s="8" t="s">
        <v>1279</v>
      </c>
      <c r="F186" s="8" t="s">
        <v>1035</v>
      </c>
      <c r="G186" s="6" t="s">
        <v>165</v>
      </c>
      <c r="H186" s="6" t="s">
        <v>38</v>
      </c>
      <c r="I186" s="8" t="s">
        <v>39</v>
      </c>
      <c r="J186" s="9">
        <v>1</v>
      </c>
      <c r="K186" s="9">
        <v>281</v>
      </c>
      <c r="L186" s="9">
        <v>2017</v>
      </c>
      <c r="M186" s="8" t="s">
        <v>1280</v>
      </c>
      <c r="N186" s="8" t="s">
        <v>41</v>
      </c>
      <c r="O186" s="8" t="s">
        <v>42</v>
      </c>
      <c r="P186" s="6" t="s">
        <v>43</v>
      </c>
      <c r="Q186" s="8" t="s">
        <v>908</v>
      </c>
      <c r="R186" s="10" t="s">
        <v>1281</v>
      </c>
      <c r="S186" s="11"/>
      <c r="T186" s="6"/>
      <c r="U186" s="27" t="str">
        <f>HYPERLINK("https://media.infra-m.ru/0898/0898668/cover/898668.jpg", "Обложка")</f>
        <v>Обложка</v>
      </c>
      <c r="V186" s="27" t="str">
        <f>HYPERLINK("https://znanium.com/catalog/product/2019761", "Ознакомиться")</f>
        <v>Ознакомиться</v>
      </c>
      <c r="W186" s="8"/>
      <c r="X186" s="6"/>
      <c r="Y186" s="6"/>
      <c r="Z186" s="6"/>
      <c r="AA186" s="6" t="s">
        <v>302</v>
      </c>
    </row>
    <row r="187" spans="1:27" s="4" customFormat="1" ht="51.95" customHeight="1">
      <c r="A187" s="5">
        <v>0</v>
      </c>
      <c r="B187" s="6" t="s">
        <v>1282</v>
      </c>
      <c r="C187" s="7">
        <v>1300</v>
      </c>
      <c r="D187" s="8" t="s">
        <v>1283</v>
      </c>
      <c r="E187" s="8" t="s">
        <v>1279</v>
      </c>
      <c r="F187" s="8" t="s">
        <v>1035</v>
      </c>
      <c r="G187" s="6" t="s">
        <v>37</v>
      </c>
      <c r="H187" s="6" t="s">
        <v>38</v>
      </c>
      <c r="I187" s="8" t="s">
        <v>75</v>
      </c>
      <c r="J187" s="9">
        <v>1</v>
      </c>
      <c r="K187" s="9">
        <v>281</v>
      </c>
      <c r="L187" s="9">
        <v>2024</v>
      </c>
      <c r="M187" s="8" t="s">
        <v>1284</v>
      </c>
      <c r="N187" s="8" t="s">
        <v>41</v>
      </c>
      <c r="O187" s="8" t="s">
        <v>42</v>
      </c>
      <c r="P187" s="6" t="s">
        <v>77</v>
      </c>
      <c r="Q187" s="8" t="s">
        <v>78</v>
      </c>
      <c r="R187" s="10" t="s">
        <v>1285</v>
      </c>
      <c r="S187" s="11" t="s">
        <v>1286</v>
      </c>
      <c r="T187" s="6"/>
      <c r="U187" s="27" t="str">
        <f>HYPERLINK("https://media.infra-m.ru/2083/2083905/cover/2083905.jpg", "Обложка")</f>
        <v>Обложка</v>
      </c>
      <c r="V187" s="27" t="str">
        <f>HYPERLINK("https://znanium.com/catalog/product/2083905", "Ознакомиться")</f>
        <v>Ознакомиться</v>
      </c>
      <c r="W187" s="8"/>
      <c r="X187" s="6"/>
      <c r="Y187" s="6"/>
      <c r="Z187" s="6" t="s">
        <v>903</v>
      </c>
      <c r="AA187" s="6" t="s">
        <v>372</v>
      </c>
    </row>
    <row r="188" spans="1:27" s="4" customFormat="1" ht="51.95" customHeight="1">
      <c r="A188" s="5">
        <v>0</v>
      </c>
      <c r="B188" s="6" t="s">
        <v>1287</v>
      </c>
      <c r="C188" s="7">
        <v>1140</v>
      </c>
      <c r="D188" s="8" t="s">
        <v>1288</v>
      </c>
      <c r="E188" s="8" t="s">
        <v>1289</v>
      </c>
      <c r="F188" s="8" t="s">
        <v>1035</v>
      </c>
      <c r="G188" s="6" t="s">
        <v>165</v>
      </c>
      <c r="H188" s="6" t="s">
        <v>38</v>
      </c>
      <c r="I188" s="8" t="s">
        <v>173</v>
      </c>
      <c r="J188" s="9">
        <v>1</v>
      </c>
      <c r="K188" s="9">
        <v>285</v>
      </c>
      <c r="L188" s="9">
        <v>2021</v>
      </c>
      <c r="M188" s="8" t="s">
        <v>1290</v>
      </c>
      <c r="N188" s="8" t="s">
        <v>41</v>
      </c>
      <c r="O188" s="8" t="s">
        <v>42</v>
      </c>
      <c r="P188" s="6" t="s">
        <v>77</v>
      </c>
      <c r="Q188" s="8" t="s">
        <v>89</v>
      </c>
      <c r="R188" s="10" t="s">
        <v>1098</v>
      </c>
      <c r="S188" s="11" t="s">
        <v>1291</v>
      </c>
      <c r="T188" s="6"/>
      <c r="U188" s="27" t="str">
        <f>HYPERLINK("https://media.infra-m.ru/1537/1537873/cover/1537873.jpg", "Обложка")</f>
        <v>Обложка</v>
      </c>
      <c r="V188" s="27" t="str">
        <f>HYPERLINK("https://znanium.com/catalog/product/1537873", "Ознакомиться")</f>
        <v>Ознакомиться</v>
      </c>
      <c r="W188" s="8"/>
      <c r="X188" s="6"/>
      <c r="Y188" s="6"/>
      <c r="Z188" s="6"/>
      <c r="AA188" s="6" t="s">
        <v>128</v>
      </c>
    </row>
    <row r="189" spans="1:27" s="4" customFormat="1" ht="51.95" customHeight="1">
      <c r="A189" s="5">
        <v>0</v>
      </c>
      <c r="B189" s="6" t="s">
        <v>1292</v>
      </c>
      <c r="C189" s="13">
        <v>790</v>
      </c>
      <c r="D189" s="8" t="s">
        <v>1293</v>
      </c>
      <c r="E189" s="8" t="s">
        <v>1294</v>
      </c>
      <c r="F189" s="8" t="s">
        <v>1110</v>
      </c>
      <c r="G189" s="6" t="s">
        <v>53</v>
      </c>
      <c r="H189" s="6" t="s">
        <v>38</v>
      </c>
      <c r="I189" s="8" t="s">
        <v>54</v>
      </c>
      <c r="J189" s="9">
        <v>1</v>
      </c>
      <c r="K189" s="9">
        <v>160</v>
      </c>
      <c r="L189" s="9">
        <v>2023</v>
      </c>
      <c r="M189" s="8" t="s">
        <v>1295</v>
      </c>
      <c r="N189" s="8" t="s">
        <v>41</v>
      </c>
      <c r="O189" s="8" t="s">
        <v>42</v>
      </c>
      <c r="P189" s="6" t="s">
        <v>58</v>
      </c>
      <c r="Q189" s="8" t="s">
        <v>44</v>
      </c>
      <c r="R189" s="10" t="s">
        <v>1296</v>
      </c>
      <c r="S189" s="11"/>
      <c r="T189" s="6"/>
      <c r="U189" s="27" t="str">
        <f>HYPERLINK("https://media.infra-m.ru/1871/1871394/cover/1871394.jpg", "Обложка")</f>
        <v>Обложка</v>
      </c>
      <c r="V189" s="27" t="str">
        <f>HYPERLINK("https://znanium.com/catalog/product/1871394", "Ознакомиться")</f>
        <v>Ознакомиться</v>
      </c>
      <c r="W189" s="8" t="s">
        <v>269</v>
      </c>
      <c r="X189" s="6"/>
      <c r="Y189" s="6"/>
      <c r="Z189" s="6"/>
      <c r="AA189" s="6" t="s">
        <v>61</v>
      </c>
    </row>
    <row r="190" spans="1:27" s="4" customFormat="1" ht="44.1" customHeight="1">
      <c r="A190" s="5">
        <v>0</v>
      </c>
      <c r="B190" s="6" t="s">
        <v>1297</v>
      </c>
      <c r="C190" s="13">
        <v>694</v>
      </c>
      <c r="D190" s="8" t="s">
        <v>1298</v>
      </c>
      <c r="E190" s="8" t="s">
        <v>1299</v>
      </c>
      <c r="F190" s="8" t="s">
        <v>1300</v>
      </c>
      <c r="G190" s="6" t="s">
        <v>165</v>
      </c>
      <c r="H190" s="6" t="s">
        <v>38</v>
      </c>
      <c r="I190" s="8" t="s">
        <v>39</v>
      </c>
      <c r="J190" s="9">
        <v>1</v>
      </c>
      <c r="K190" s="9">
        <v>152</v>
      </c>
      <c r="L190" s="9">
        <v>2024</v>
      </c>
      <c r="M190" s="8" t="s">
        <v>1301</v>
      </c>
      <c r="N190" s="8" t="s">
        <v>41</v>
      </c>
      <c r="O190" s="8" t="s">
        <v>42</v>
      </c>
      <c r="P190" s="6" t="s">
        <v>541</v>
      </c>
      <c r="Q190" s="8" t="s">
        <v>316</v>
      </c>
      <c r="R190" s="10" t="s">
        <v>1302</v>
      </c>
      <c r="S190" s="11"/>
      <c r="T190" s="6"/>
      <c r="U190" s="27" t="str">
        <f>HYPERLINK("https://media.infra-m.ru/2118/2118582/cover/2118582.jpg", "Обложка")</f>
        <v>Обложка</v>
      </c>
      <c r="V190" s="27" t="str">
        <f>HYPERLINK("https://znanium.com/catalog/product/2038323", "Ознакомиться")</f>
        <v>Ознакомиться</v>
      </c>
      <c r="W190" s="8" t="s">
        <v>896</v>
      </c>
      <c r="X190" s="6"/>
      <c r="Y190" s="6"/>
      <c r="Z190" s="6"/>
      <c r="AA190" s="6" t="s">
        <v>70</v>
      </c>
    </row>
    <row r="191" spans="1:27" s="4" customFormat="1" ht="44.1" customHeight="1">
      <c r="A191" s="5">
        <v>0</v>
      </c>
      <c r="B191" s="6" t="s">
        <v>1303</v>
      </c>
      <c r="C191" s="13">
        <v>880</v>
      </c>
      <c r="D191" s="8" t="s">
        <v>1304</v>
      </c>
      <c r="E191" s="8" t="s">
        <v>1305</v>
      </c>
      <c r="F191" s="8" t="s">
        <v>1306</v>
      </c>
      <c r="G191" s="6" t="s">
        <v>37</v>
      </c>
      <c r="H191" s="6" t="s">
        <v>38</v>
      </c>
      <c r="I191" s="8" t="s">
        <v>183</v>
      </c>
      <c r="J191" s="9">
        <v>1</v>
      </c>
      <c r="K191" s="9">
        <v>191</v>
      </c>
      <c r="L191" s="9">
        <v>2024</v>
      </c>
      <c r="M191" s="8" t="s">
        <v>1307</v>
      </c>
      <c r="N191" s="8" t="s">
        <v>41</v>
      </c>
      <c r="O191" s="8" t="s">
        <v>42</v>
      </c>
      <c r="P191" s="6" t="s">
        <v>77</v>
      </c>
      <c r="Q191" s="8" t="s">
        <v>89</v>
      </c>
      <c r="R191" s="10" t="s">
        <v>1308</v>
      </c>
      <c r="S191" s="11"/>
      <c r="T191" s="6"/>
      <c r="U191" s="27" t="str">
        <f>HYPERLINK("https://media.infra-m.ru/2098/2098498/cover/2098498.jpg", "Обложка")</f>
        <v>Обложка</v>
      </c>
      <c r="V191" s="27" t="str">
        <f>HYPERLINK("https://znanium.com/catalog/product/2098498", "Ознакомиться")</f>
        <v>Ознакомиться</v>
      </c>
      <c r="W191" s="8" t="s">
        <v>1309</v>
      </c>
      <c r="X191" s="6"/>
      <c r="Y191" s="6"/>
      <c r="Z191" s="6"/>
      <c r="AA191" s="6" t="s">
        <v>83</v>
      </c>
    </row>
    <row r="192" spans="1:27" s="4" customFormat="1" ht="51.95" customHeight="1">
      <c r="A192" s="5">
        <v>0</v>
      </c>
      <c r="B192" s="6" t="s">
        <v>1310</v>
      </c>
      <c r="C192" s="13">
        <v>860</v>
      </c>
      <c r="D192" s="8" t="s">
        <v>1311</v>
      </c>
      <c r="E192" s="8" t="s">
        <v>1305</v>
      </c>
      <c r="F192" s="8" t="s">
        <v>1306</v>
      </c>
      <c r="G192" s="6" t="s">
        <v>37</v>
      </c>
      <c r="H192" s="6" t="s">
        <v>38</v>
      </c>
      <c r="I192" s="8" t="s">
        <v>75</v>
      </c>
      <c r="J192" s="9">
        <v>1</v>
      </c>
      <c r="K192" s="9">
        <v>191</v>
      </c>
      <c r="L192" s="9">
        <v>2023</v>
      </c>
      <c r="M192" s="8" t="s">
        <v>1312</v>
      </c>
      <c r="N192" s="8" t="s">
        <v>41</v>
      </c>
      <c r="O192" s="8" t="s">
        <v>42</v>
      </c>
      <c r="P192" s="6" t="s">
        <v>77</v>
      </c>
      <c r="Q192" s="8" t="s">
        <v>78</v>
      </c>
      <c r="R192" s="10" t="s">
        <v>1308</v>
      </c>
      <c r="S192" s="11" t="s">
        <v>1313</v>
      </c>
      <c r="T192" s="6"/>
      <c r="U192" s="27" t="str">
        <f>HYPERLINK("https://media.infra-m.ru/1920/1920366/cover/1920366.jpg", "Обложка")</f>
        <v>Обложка</v>
      </c>
      <c r="V192" s="27" t="str">
        <f>HYPERLINK("https://znanium.com/catalog/product/1920366", "Ознакомиться")</f>
        <v>Ознакомиться</v>
      </c>
      <c r="W192" s="8" t="s">
        <v>1309</v>
      </c>
      <c r="X192" s="6" t="s">
        <v>510</v>
      </c>
      <c r="Y192" s="6"/>
      <c r="Z192" s="6" t="s">
        <v>82</v>
      </c>
      <c r="AA192" s="6" t="s">
        <v>61</v>
      </c>
    </row>
    <row r="193" spans="1:27" s="4" customFormat="1" ht="51.95" customHeight="1">
      <c r="A193" s="5">
        <v>0</v>
      </c>
      <c r="B193" s="6" t="s">
        <v>1314</v>
      </c>
      <c r="C193" s="7">
        <v>1960</v>
      </c>
      <c r="D193" s="8" t="s">
        <v>1315</v>
      </c>
      <c r="E193" s="8" t="s">
        <v>1316</v>
      </c>
      <c r="F193" s="8" t="s">
        <v>1317</v>
      </c>
      <c r="G193" s="6" t="s">
        <v>165</v>
      </c>
      <c r="H193" s="6" t="s">
        <v>38</v>
      </c>
      <c r="I193" s="8" t="s">
        <v>75</v>
      </c>
      <c r="J193" s="9">
        <v>1</v>
      </c>
      <c r="K193" s="9">
        <v>425</v>
      </c>
      <c r="L193" s="9">
        <v>2024</v>
      </c>
      <c r="M193" s="8" t="s">
        <v>1318</v>
      </c>
      <c r="N193" s="8" t="s">
        <v>41</v>
      </c>
      <c r="O193" s="8" t="s">
        <v>42</v>
      </c>
      <c r="P193" s="6" t="s">
        <v>150</v>
      </c>
      <c r="Q193" s="8" t="s">
        <v>78</v>
      </c>
      <c r="R193" s="10" t="s">
        <v>1319</v>
      </c>
      <c r="S193" s="11" t="s">
        <v>1320</v>
      </c>
      <c r="T193" s="6" t="s">
        <v>46</v>
      </c>
      <c r="U193" s="27" t="str">
        <f>HYPERLINK("https://media.infra-m.ru/2102/2102690/cover/2102690.jpg", "Обложка")</f>
        <v>Обложка</v>
      </c>
      <c r="V193" s="27" t="str">
        <f>HYPERLINK("https://znanium.com/catalog/product/2102690", "Ознакомиться")</f>
        <v>Ознакомиться</v>
      </c>
      <c r="W193" s="8"/>
      <c r="X193" s="6"/>
      <c r="Y193" s="6"/>
      <c r="Z193" s="6"/>
      <c r="AA193" s="6" t="s">
        <v>117</v>
      </c>
    </row>
    <row r="194" spans="1:27" s="4" customFormat="1" ht="51.95" customHeight="1">
      <c r="A194" s="5">
        <v>0</v>
      </c>
      <c r="B194" s="6" t="s">
        <v>1321</v>
      </c>
      <c r="C194" s="7">
        <v>1994</v>
      </c>
      <c r="D194" s="8" t="s">
        <v>1322</v>
      </c>
      <c r="E194" s="8" t="s">
        <v>1323</v>
      </c>
      <c r="F194" s="8" t="s">
        <v>1324</v>
      </c>
      <c r="G194" s="6" t="s">
        <v>165</v>
      </c>
      <c r="H194" s="6" t="s">
        <v>1325</v>
      </c>
      <c r="I194" s="8"/>
      <c r="J194" s="9">
        <v>1</v>
      </c>
      <c r="K194" s="9">
        <v>640</v>
      </c>
      <c r="L194" s="9">
        <v>2023</v>
      </c>
      <c r="M194" s="8" t="s">
        <v>1326</v>
      </c>
      <c r="N194" s="8" t="s">
        <v>56</v>
      </c>
      <c r="O194" s="8" t="s">
        <v>57</v>
      </c>
      <c r="P194" s="6" t="s">
        <v>150</v>
      </c>
      <c r="Q194" s="8" t="s">
        <v>316</v>
      </c>
      <c r="R194" s="10" t="s">
        <v>1327</v>
      </c>
      <c r="S194" s="11" t="s">
        <v>1328</v>
      </c>
      <c r="T194" s="6"/>
      <c r="U194" s="12"/>
      <c r="V194" s="27" t="str">
        <f>HYPERLINK("https://znanium.com/catalog/product/911024", "Ознакомиться")</f>
        <v>Ознакомиться</v>
      </c>
      <c r="W194" s="8" t="s">
        <v>1329</v>
      </c>
      <c r="X194" s="6"/>
      <c r="Y194" s="6"/>
      <c r="Z194" s="6"/>
      <c r="AA194" s="6" t="s">
        <v>1330</v>
      </c>
    </row>
    <row r="195" spans="1:27" s="4" customFormat="1" ht="51.95" customHeight="1">
      <c r="A195" s="5">
        <v>0</v>
      </c>
      <c r="B195" s="6" t="s">
        <v>1331</v>
      </c>
      <c r="C195" s="7">
        <v>1604</v>
      </c>
      <c r="D195" s="8" t="s">
        <v>1332</v>
      </c>
      <c r="E195" s="8" t="s">
        <v>1333</v>
      </c>
      <c r="F195" s="8" t="s">
        <v>239</v>
      </c>
      <c r="G195" s="6" t="s">
        <v>37</v>
      </c>
      <c r="H195" s="6" t="s">
        <v>248</v>
      </c>
      <c r="I195" s="8"/>
      <c r="J195" s="9">
        <v>1</v>
      </c>
      <c r="K195" s="9">
        <v>349</v>
      </c>
      <c r="L195" s="9">
        <v>2024</v>
      </c>
      <c r="M195" s="8" t="s">
        <v>1334</v>
      </c>
      <c r="N195" s="8" t="s">
        <v>56</v>
      </c>
      <c r="O195" s="8" t="s">
        <v>57</v>
      </c>
      <c r="P195" s="6" t="s">
        <v>77</v>
      </c>
      <c r="Q195" s="8" t="s">
        <v>89</v>
      </c>
      <c r="R195" s="10" t="s">
        <v>1335</v>
      </c>
      <c r="S195" s="11"/>
      <c r="T195" s="6"/>
      <c r="U195" s="27" t="str">
        <f>HYPERLINK("https://media.infra-m.ru/2096/2096840/cover/2096840.jpg", "Обложка")</f>
        <v>Обложка</v>
      </c>
      <c r="V195" s="27" t="str">
        <f>HYPERLINK("https://znanium.com/catalog/product/1789530", "Ознакомиться")</f>
        <v>Ознакомиться</v>
      </c>
      <c r="W195" s="8" t="s">
        <v>243</v>
      </c>
      <c r="X195" s="6"/>
      <c r="Y195" s="6"/>
      <c r="Z195" s="6"/>
      <c r="AA195" s="6" t="s">
        <v>101</v>
      </c>
    </row>
    <row r="196" spans="1:27" s="4" customFormat="1" ht="51.95" customHeight="1">
      <c r="A196" s="5">
        <v>0</v>
      </c>
      <c r="B196" s="6" t="s">
        <v>1336</v>
      </c>
      <c r="C196" s="13">
        <v>630</v>
      </c>
      <c r="D196" s="8" t="s">
        <v>1337</v>
      </c>
      <c r="E196" s="8" t="s">
        <v>1338</v>
      </c>
      <c r="F196" s="8" t="s">
        <v>1339</v>
      </c>
      <c r="G196" s="6" t="s">
        <v>37</v>
      </c>
      <c r="H196" s="6" t="s">
        <v>248</v>
      </c>
      <c r="I196" s="8"/>
      <c r="J196" s="9">
        <v>1</v>
      </c>
      <c r="K196" s="9">
        <v>196</v>
      </c>
      <c r="L196" s="9">
        <v>2019</v>
      </c>
      <c r="M196" s="8" t="s">
        <v>1340</v>
      </c>
      <c r="N196" s="8" t="s">
        <v>56</v>
      </c>
      <c r="O196" s="8" t="s">
        <v>57</v>
      </c>
      <c r="P196" s="6" t="s">
        <v>77</v>
      </c>
      <c r="Q196" s="8" t="s">
        <v>89</v>
      </c>
      <c r="R196" s="10" t="s">
        <v>1341</v>
      </c>
      <c r="S196" s="11"/>
      <c r="T196" s="6"/>
      <c r="U196" s="27" t="str">
        <f>HYPERLINK("https://media.infra-m.ru/0993/0993453/cover/993453.jpg", "Обложка")</f>
        <v>Обложка</v>
      </c>
      <c r="V196" s="27" t="str">
        <f>HYPERLINK("https://znanium.com/catalog/product/1912710", "Ознакомиться")</f>
        <v>Ознакомиться</v>
      </c>
      <c r="W196" s="8" t="s">
        <v>228</v>
      </c>
      <c r="X196" s="6"/>
      <c r="Y196" s="6"/>
      <c r="Z196" s="6"/>
      <c r="AA196" s="6" t="s">
        <v>1342</v>
      </c>
    </row>
    <row r="197" spans="1:27" s="4" customFormat="1" ht="51.95" customHeight="1">
      <c r="A197" s="5">
        <v>0</v>
      </c>
      <c r="B197" s="6" t="s">
        <v>1343</v>
      </c>
      <c r="C197" s="13">
        <v>880</v>
      </c>
      <c r="D197" s="8" t="s">
        <v>1344</v>
      </c>
      <c r="E197" s="8" t="s">
        <v>1345</v>
      </c>
      <c r="F197" s="8" t="s">
        <v>1339</v>
      </c>
      <c r="G197" s="6" t="s">
        <v>37</v>
      </c>
      <c r="H197" s="6" t="s">
        <v>38</v>
      </c>
      <c r="I197" s="8" t="s">
        <v>173</v>
      </c>
      <c r="J197" s="9">
        <v>1</v>
      </c>
      <c r="K197" s="9">
        <v>196</v>
      </c>
      <c r="L197" s="9">
        <v>2023</v>
      </c>
      <c r="M197" s="8" t="s">
        <v>1346</v>
      </c>
      <c r="N197" s="8" t="s">
        <v>56</v>
      </c>
      <c r="O197" s="8" t="s">
        <v>57</v>
      </c>
      <c r="P197" s="6" t="s">
        <v>77</v>
      </c>
      <c r="Q197" s="8" t="s">
        <v>89</v>
      </c>
      <c r="R197" s="10" t="s">
        <v>1341</v>
      </c>
      <c r="S197" s="11" t="s">
        <v>1347</v>
      </c>
      <c r="T197" s="6"/>
      <c r="U197" s="27" t="str">
        <f>HYPERLINK("https://media.infra-m.ru/1912/1912710/cover/1912710.jpg", "Обложка")</f>
        <v>Обложка</v>
      </c>
      <c r="V197" s="27" t="str">
        <f>HYPERLINK("https://znanium.com/catalog/product/1912710", "Ознакомиться")</f>
        <v>Ознакомиться</v>
      </c>
      <c r="W197" s="8" t="s">
        <v>228</v>
      </c>
      <c r="X197" s="6"/>
      <c r="Y197" s="6"/>
      <c r="Z197" s="6"/>
      <c r="AA197" s="6" t="s">
        <v>1348</v>
      </c>
    </row>
    <row r="198" spans="1:27" s="4" customFormat="1" ht="51.95" customHeight="1">
      <c r="A198" s="5">
        <v>0</v>
      </c>
      <c r="B198" s="6" t="s">
        <v>1349</v>
      </c>
      <c r="C198" s="13">
        <v>900</v>
      </c>
      <c r="D198" s="8" t="s">
        <v>1350</v>
      </c>
      <c r="E198" s="8" t="s">
        <v>1345</v>
      </c>
      <c r="F198" s="8" t="s">
        <v>1339</v>
      </c>
      <c r="G198" s="6" t="s">
        <v>37</v>
      </c>
      <c r="H198" s="6" t="s">
        <v>38</v>
      </c>
      <c r="I198" s="8" t="s">
        <v>75</v>
      </c>
      <c r="J198" s="9">
        <v>1</v>
      </c>
      <c r="K198" s="9">
        <v>196</v>
      </c>
      <c r="L198" s="9">
        <v>2023</v>
      </c>
      <c r="M198" s="8" t="s">
        <v>1351</v>
      </c>
      <c r="N198" s="8" t="s">
        <v>56</v>
      </c>
      <c r="O198" s="8" t="s">
        <v>57</v>
      </c>
      <c r="P198" s="6" t="s">
        <v>77</v>
      </c>
      <c r="Q198" s="8" t="s">
        <v>78</v>
      </c>
      <c r="R198" s="10" t="s">
        <v>1352</v>
      </c>
      <c r="S198" s="11" t="s">
        <v>1353</v>
      </c>
      <c r="T198" s="6"/>
      <c r="U198" s="27" t="str">
        <f>HYPERLINK("https://media.infra-m.ru/1899/1899833/cover/1899833.jpg", "Обложка")</f>
        <v>Обложка</v>
      </c>
      <c r="V198" s="27" t="str">
        <f>HYPERLINK("https://znanium.com/catalog/product/1899833", "Ознакомиться")</f>
        <v>Ознакомиться</v>
      </c>
      <c r="W198" s="8" t="s">
        <v>228</v>
      </c>
      <c r="X198" s="6"/>
      <c r="Y198" s="6"/>
      <c r="Z198" s="6" t="s">
        <v>82</v>
      </c>
      <c r="AA198" s="6" t="s">
        <v>1348</v>
      </c>
    </row>
    <row r="199" spans="1:27" s="4" customFormat="1" ht="51.95" customHeight="1">
      <c r="A199" s="5">
        <v>0</v>
      </c>
      <c r="B199" s="6" t="s">
        <v>1354</v>
      </c>
      <c r="C199" s="7">
        <v>2870</v>
      </c>
      <c r="D199" s="8" t="s">
        <v>1355</v>
      </c>
      <c r="E199" s="8" t="s">
        <v>1356</v>
      </c>
      <c r="F199" s="8" t="s">
        <v>853</v>
      </c>
      <c r="G199" s="6" t="s">
        <v>165</v>
      </c>
      <c r="H199" s="6" t="s">
        <v>38</v>
      </c>
      <c r="I199" s="8" t="s">
        <v>183</v>
      </c>
      <c r="J199" s="9">
        <v>1</v>
      </c>
      <c r="K199" s="9">
        <v>625</v>
      </c>
      <c r="L199" s="9">
        <v>2023</v>
      </c>
      <c r="M199" s="8" t="s">
        <v>1357</v>
      </c>
      <c r="N199" s="8" t="s">
        <v>56</v>
      </c>
      <c r="O199" s="8" t="s">
        <v>57</v>
      </c>
      <c r="P199" s="6" t="s">
        <v>77</v>
      </c>
      <c r="Q199" s="8" t="s">
        <v>316</v>
      </c>
      <c r="R199" s="10" t="s">
        <v>1358</v>
      </c>
      <c r="S199" s="11" t="s">
        <v>1359</v>
      </c>
      <c r="T199" s="6"/>
      <c r="U199" s="27" t="str">
        <f>HYPERLINK("https://media.infra-m.ru/2001/2001665/cover/2001665.jpg", "Обложка")</f>
        <v>Обложка</v>
      </c>
      <c r="V199" s="27" t="str">
        <f>HYPERLINK("https://znanium.com/catalog/product/2001665", "Ознакомиться")</f>
        <v>Ознакомиться</v>
      </c>
      <c r="W199" s="8" t="s">
        <v>638</v>
      </c>
      <c r="X199" s="6"/>
      <c r="Y199" s="6"/>
      <c r="Z199" s="6"/>
      <c r="AA199" s="6" t="s">
        <v>812</v>
      </c>
    </row>
    <row r="200" spans="1:27" s="4" customFormat="1" ht="51.95" customHeight="1">
      <c r="A200" s="5">
        <v>0</v>
      </c>
      <c r="B200" s="6" t="s">
        <v>1360</v>
      </c>
      <c r="C200" s="7">
        <v>1454</v>
      </c>
      <c r="D200" s="8" t="s">
        <v>1361</v>
      </c>
      <c r="E200" s="8" t="s">
        <v>1362</v>
      </c>
      <c r="F200" s="8" t="s">
        <v>1363</v>
      </c>
      <c r="G200" s="6" t="s">
        <v>165</v>
      </c>
      <c r="H200" s="6" t="s">
        <v>38</v>
      </c>
      <c r="I200" s="8" t="s">
        <v>173</v>
      </c>
      <c r="J200" s="9">
        <v>1</v>
      </c>
      <c r="K200" s="9">
        <v>496</v>
      </c>
      <c r="L200" s="9">
        <v>2018</v>
      </c>
      <c r="M200" s="8" t="s">
        <v>1364</v>
      </c>
      <c r="N200" s="8" t="s">
        <v>56</v>
      </c>
      <c r="O200" s="8" t="s">
        <v>57</v>
      </c>
      <c r="P200" s="6" t="s">
        <v>77</v>
      </c>
      <c r="Q200" s="8" t="s">
        <v>89</v>
      </c>
      <c r="R200" s="10" t="s">
        <v>1365</v>
      </c>
      <c r="S200" s="11" t="s">
        <v>1366</v>
      </c>
      <c r="T200" s="6"/>
      <c r="U200" s="27" t="str">
        <f>HYPERLINK("https://media.infra-m.ru/2081/2081860/cover/2081860.jpg", "Обложка")</f>
        <v>Обложка</v>
      </c>
      <c r="V200" s="27" t="str">
        <f>HYPERLINK("https://znanium.com/catalog/product/2033514", "Ознакомиться")</f>
        <v>Ознакомиться</v>
      </c>
      <c r="W200" s="8" t="s">
        <v>371</v>
      </c>
      <c r="X200" s="6"/>
      <c r="Y200" s="6"/>
      <c r="Z200" s="6"/>
      <c r="AA200" s="6" t="s">
        <v>372</v>
      </c>
    </row>
    <row r="201" spans="1:27" s="4" customFormat="1" ht="51.95" customHeight="1">
      <c r="A201" s="5">
        <v>0</v>
      </c>
      <c r="B201" s="6" t="s">
        <v>1367</v>
      </c>
      <c r="C201" s="13">
        <v>950</v>
      </c>
      <c r="D201" s="8" t="s">
        <v>1368</v>
      </c>
      <c r="E201" s="8" t="s">
        <v>1369</v>
      </c>
      <c r="F201" s="8" t="s">
        <v>1370</v>
      </c>
      <c r="G201" s="6" t="s">
        <v>37</v>
      </c>
      <c r="H201" s="6" t="s">
        <v>38</v>
      </c>
      <c r="I201" s="8" t="s">
        <v>173</v>
      </c>
      <c r="J201" s="9">
        <v>1</v>
      </c>
      <c r="K201" s="9">
        <v>210</v>
      </c>
      <c r="L201" s="9">
        <v>2023</v>
      </c>
      <c r="M201" s="8" t="s">
        <v>1371</v>
      </c>
      <c r="N201" s="8" t="s">
        <v>41</v>
      </c>
      <c r="O201" s="8" t="s">
        <v>42</v>
      </c>
      <c r="P201" s="6" t="s">
        <v>77</v>
      </c>
      <c r="Q201" s="8" t="s">
        <v>89</v>
      </c>
      <c r="R201" s="10" t="s">
        <v>115</v>
      </c>
      <c r="S201" s="11" t="s">
        <v>1372</v>
      </c>
      <c r="T201" s="6"/>
      <c r="U201" s="27" t="str">
        <f>HYPERLINK("https://media.infra-m.ru/1891/1891833/cover/1891833.jpg", "Обложка")</f>
        <v>Обложка</v>
      </c>
      <c r="V201" s="27" t="str">
        <f>HYPERLINK("https://znanium.com/catalog/product/1891833", "Ознакомиться")</f>
        <v>Ознакомиться</v>
      </c>
      <c r="W201" s="8" t="s">
        <v>1007</v>
      </c>
      <c r="X201" s="6"/>
      <c r="Y201" s="6"/>
      <c r="Z201" s="6"/>
      <c r="AA201" s="6" t="s">
        <v>83</v>
      </c>
    </row>
    <row r="202" spans="1:27" s="4" customFormat="1" ht="51.95" customHeight="1">
      <c r="A202" s="5">
        <v>0</v>
      </c>
      <c r="B202" s="6" t="s">
        <v>1373</v>
      </c>
      <c r="C202" s="13">
        <v>450</v>
      </c>
      <c r="D202" s="8" t="s">
        <v>1374</v>
      </c>
      <c r="E202" s="8" t="s">
        <v>1375</v>
      </c>
      <c r="F202" s="8" t="s">
        <v>1213</v>
      </c>
      <c r="G202" s="6" t="s">
        <v>53</v>
      </c>
      <c r="H202" s="6" t="s">
        <v>87</v>
      </c>
      <c r="I202" s="8" t="s">
        <v>183</v>
      </c>
      <c r="J202" s="9">
        <v>1</v>
      </c>
      <c r="K202" s="9">
        <v>64</v>
      </c>
      <c r="L202" s="9">
        <v>2023</v>
      </c>
      <c r="M202" s="8" t="s">
        <v>1376</v>
      </c>
      <c r="N202" s="8" t="s">
        <v>41</v>
      </c>
      <c r="O202" s="8" t="s">
        <v>42</v>
      </c>
      <c r="P202" s="6" t="s">
        <v>185</v>
      </c>
      <c r="Q202" s="8" t="s">
        <v>316</v>
      </c>
      <c r="R202" s="10" t="s">
        <v>442</v>
      </c>
      <c r="S202" s="11" t="s">
        <v>1377</v>
      </c>
      <c r="T202" s="6"/>
      <c r="U202" s="27" t="str">
        <f>HYPERLINK("https://media.infra-m.ru/2023/2023966/cover/2023966.jpg", "Обложка")</f>
        <v>Обложка</v>
      </c>
      <c r="V202" s="27" t="str">
        <f>HYPERLINK("https://znanium.com/catalog/product/2023966", "Ознакомиться")</f>
        <v>Ознакомиться</v>
      </c>
      <c r="W202" s="8" t="s">
        <v>444</v>
      </c>
      <c r="X202" s="6"/>
      <c r="Y202" s="6"/>
      <c r="Z202" s="6"/>
      <c r="AA202" s="6" t="s">
        <v>208</v>
      </c>
    </row>
    <row r="203" spans="1:27" s="4" customFormat="1" ht="51.95" customHeight="1">
      <c r="A203" s="5">
        <v>0</v>
      </c>
      <c r="B203" s="6" t="s">
        <v>1378</v>
      </c>
      <c r="C203" s="13">
        <v>420</v>
      </c>
      <c r="D203" s="8" t="s">
        <v>1379</v>
      </c>
      <c r="E203" s="8" t="s">
        <v>1375</v>
      </c>
      <c r="F203" s="8" t="s">
        <v>1213</v>
      </c>
      <c r="G203" s="6" t="s">
        <v>53</v>
      </c>
      <c r="H203" s="6" t="s">
        <v>87</v>
      </c>
      <c r="I203" s="8" t="s">
        <v>75</v>
      </c>
      <c r="J203" s="9">
        <v>1</v>
      </c>
      <c r="K203" s="9">
        <v>64</v>
      </c>
      <c r="L203" s="9">
        <v>2023</v>
      </c>
      <c r="M203" s="8" t="s">
        <v>1380</v>
      </c>
      <c r="N203" s="8" t="s">
        <v>41</v>
      </c>
      <c r="O203" s="8" t="s">
        <v>42</v>
      </c>
      <c r="P203" s="6" t="s">
        <v>185</v>
      </c>
      <c r="Q203" s="8" t="s">
        <v>78</v>
      </c>
      <c r="R203" s="10" t="s">
        <v>1381</v>
      </c>
      <c r="S203" s="11"/>
      <c r="T203" s="6"/>
      <c r="U203" s="27" t="str">
        <f>HYPERLINK("https://media.infra-m.ru/2030/2030905/cover/2030905.jpg", "Обложка")</f>
        <v>Обложка</v>
      </c>
      <c r="V203" s="27" t="str">
        <f>HYPERLINK("https://znanium.com/catalog/product/2030905", "Ознакомиться")</f>
        <v>Ознакомиться</v>
      </c>
      <c r="W203" s="8" t="s">
        <v>444</v>
      </c>
      <c r="X203" s="6"/>
      <c r="Y203" s="6"/>
      <c r="Z203" s="6" t="s">
        <v>579</v>
      </c>
      <c r="AA203" s="6" t="s">
        <v>136</v>
      </c>
    </row>
    <row r="204" spans="1:27" s="4" customFormat="1" ht="51.95" customHeight="1">
      <c r="A204" s="5">
        <v>0</v>
      </c>
      <c r="B204" s="6" t="s">
        <v>1382</v>
      </c>
      <c r="C204" s="13">
        <v>600</v>
      </c>
      <c r="D204" s="8" t="s">
        <v>1383</v>
      </c>
      <c r="E204" s="8" t="s">
        <v>1384</v>
      </c>
      <c r="F204" s="8" t="s">
        <v>1385</v>
      </c>
      <c r="G204" s="6" t="s">
        <v>165</v>
      </c>
      <c r="H204" s="6" t="s">
        <v>87</v>
      </c>
      <c r="I204" s="8" t="s">
        <v>75</v>
      </c>
      <c r="J204" s="9">
        <v>1</v>
      </c>
      <c r="K204" s="9">
        <v>176</v>
      </c>
      <c r="L204" s="9">
        <v>2020</v>
      </c>
      <c r="M204" s="8" t="s">
        <v>1386</v>
      </c>
      <c r="N204" s="8" t="s">
        <v>41</v>
      </c>
      <c r="O204" s="8" t="s">
        <v>42</v>
      </c>
      <c r="P204" s="6" t="s">
        <v>185</v>
      </c>
      <c r="Q204" s="8" t="s">
        <v>78</v>
      </c>
      <c r="R204" s="10" t="s">
        <v>1013</v>
      </c>
      <c r="S204" s="11" t="s">
        <v>1387</v>
      </c>
      <c r="T204" s="6"/>
      <c r="U204" s="27" t="str">
        <f>HYPERLINK("https://media.infra-m.ru/1084/1084337/cover/1084337.jpg", "Обложка")</f>
        <v>Обложка</v>
      </c>
      <c r="V204" s="27" t="str">
        <f>HYPERLINK("https://znanium.com/catalog/product/1084337", "Ознакомиться")</f>
        <v>Ознакомиться</v>
      </c>
      <c r="W204" s="8" t="s">
        <v>444</v>
      </c>
      <c r="X204" s="6"/>
      <c r="Y204" s="6"/>
      <c r="Z204" s="6" t="s">
        <v>1388</v>
      </c>
      <c r="AA204" s="6" t="s">
        <v>136</v>
      </c>
    </row>
    <row r="205" spans="1:27" s="4" customFormat="1" ht="51.95" customHeight="1">
      <c r="A205" s="5">
        <v>0</v>
      </c>
      <c r="B205" s="6" t="s">
        <v>1389</v>
      </c>
      <c r="C205" s="13">
        <v>810</v>
      </c>
      <c r="D205" s="8" t="s">
        <v>1390</v>
      </c>
      <c r="E205" s="8" t="s">
        <v>1384</v>
      </c>
      <c r="F205" s="8" t="s">
        <v>1385</v>
      </c>
      <c r="G205" s="6" t="s">
        <v>53</v>
      </c>
      <c r="H205" s="6" t="s">
        <v>38</v>
      </c>
      <c r="I205" s="8" t="s">
        <v>122</v>
      </c>
      <c r="J205" s="9">
        <v>1</v>
      </c>
      <c r="K205" s="9">
        <v>176</v>
      </c>
      <c r="L205" s="9">
        <v>2024</v>
      </c>
      <c r="M205" s="8" t="s">
        <v>1391</v>
      </c>
      <c r="N205" s="8" t="s">
        <v>41</v>
      </c>
      <c r="O205" s="8" t="s">
        <v>42</v>
      </c>
      <c r="P205" s="6" t="s">
        <v>185</v>
      </c>
      <c r="Q205" s="8" t="s">
        <v>124</v>
      </c>
      <c r="R205" s="10" t="s">
        <v>1392</v>
      </c>
      <c r="S205" s="11" t="s">
        <v>1393</v>
      </c>
      <c r="T205" s="6"/>
      <c r="U205" s="27" t="str">
        <f>HYPERLINK("https://media.infra-m.ru/2080/2080559/cover/2080559.jpg", "Обложка")</f>
        <v>Обложка</v>
      </c>
      <c r="V205" s="27" t="str">
        <f>HYPERLINK("https://znanium.com/catalog/product/2080559", "Ознакомиться")</f>
        <v>Ознакомиться</v>
      </c>
      <c r="W205" s="8" t="s">
        <v>444</v>
      </c>
      <c r="X205" s="6"/>
      <c r="Y205" s="6"/>
      <c r="Z205" s="6"/>
      <c r="AA205" s="6" t="s">
        <v>109</v>
      </c>
    </row>
    <row r="206" spans="1:27" s="4" customFormat="1" ht="51.95" customHeight="1">
      <c r="A206" s="5">
        <v>0</v>
      </c>
      <c r="B206" s="6" t="s">
        <v>1394</v>
      </c>
      <c r="C206" s="13">
        <v>974.9</v>
      </c>
      <c r="D206" s="8" t="s">
        <v>1395</v>
      </c>
      <c r="E206" s="8" t="s">
        <v>1396</v>
      </c>
      <c r="F206" s="8" t="s">
        <v>1397</v>
      </c>
      <c r="G206" s="6" t="s">
        <v>53</v>
      </c>
      <c r="H206" s="6" t="s">
        <v>38</v>
      </c>
      <c r="I206" s="8" t="s">
        <v>54</v>
      </c>
      <c r="J206" s="9">
        <v>1</v>
      </c>
      <c r="K206" s="9">
        <v>216</v>
      </c>
      <c r="L206" s="9">
        <v>2023</v>
      </c>
      <c r="M206" s="8" t="s">
        <v>1398</v>
      </c>
      <c r="N206" s="8" t="s">
        <v>41</v>
      </c>
      <c r="O206" s="8" t="s">
        <v>42</v>
      </c>
      <c r="P206" s="6" t="s">
        <v>58</v>
      </c>
      <c r="Q206" s="8" t="s">
        <v>44</v>
      </c>
      <c r="R206" s="10" t="s">
        <v>1399</v>
      </c>
      <c r="S206" s="11"/>
      <c r="T206" s="6"/>
      <c r="U206" s="27" t="str">
        <f>HYPERLINK("https://media.infra-m.ru/1905/1905252/cover/1905252.jpg", "Обложка")</f>
        <v>Обложка</v>
      </c>
      <c r="V206" s="27" t="str">
        <f>HYPERLINK("https://znanium.com/catalog/product/1852844", "Ознакомиться")</f>
        <v>Ознакомиться</v>
      </c>
      <c r="W206" s="8" t="s">
        <v>970</v>
      </c>
      <c r="X206" s="6"/>
      <c r="Y206" s="6"/>
      <c r="Z206" s="6"/>
      <c r="AA206" s="6" t="s">
        <v>302</v>
      </c>
    </row>
    <row r="207" spans="1:27" s="4" customFormat="1" ht="51.95" customHeight="1">
      <c r="A207" s="5">
        <v>0</v>
      </c>
      <c r="B207" s="6" t="s">
        <v>1400</v>
      </c>
      <c r="C207" s="7">
        <v>2020</v>
      </c>
      <c r="D207" s="8" t="s">
        <v>1401</v>
      </c>
      <c r="E207" s="8" t="s">
        <v>1402</v>
      </c>
      <c r="F207" s="8" t="s">
        <v>1403</v>
      </c>
      <c r="G207" s="6" t="s">
        <v>37</v>
      </c>
      <c r="H207" s="6" t="s">
        <v>38</v>
      </c>
      <c r="I207" s="8" t="s">
        <v>173</v>
      </c>
      <c r="J207" s="9">
        <v>1</v>
      </c>
      <c r="K207" s="9">
        <v>448</v>
      </c>
      <c r="L207" s="9">
        <v>2023</v>
      </c>
      <c r="M207" s="8" t="s">
        <v>1404</v>
      </c>
      <c r="N207" s="8" t="s">
        <v>41</v>
      </c>
      <c r="O207" s="8" t="s">
        <v>42</v>
      </c>
      <c r="P207" s="6" t="s">
        <v>150</v>
      </c>
      <c r="Q207" s="8" t="s">
        <v>89</v>
      </c>
      <c r="R207" s="10" t="s">
        <v>671</v>
      </c>
      <c r="S207" s="11" t="s">
        <v>1147</v>
      </c>
      <c r="T207" s="6" t="s">
        <v>46</v>
      </c>
      <c r="U207" s="27" t="str">
        <f>HYPERLINK("https://media.infra-m.ru/1920/1920329/cover/1920329.jpg", "Обложка")</f>
        <v>Обложка</v>
      </c>
      <c r="V207" s="27" t="str">
        <f>HYPERLINK("https://znanium.com/catalog/product/1920329", "Ознакомиться")</f>
        <v>Ознакомиться</v>
      </c>
      <c r="W207" s="8" t="s">
        <v>638</v>
      </c>
      <c r="X207" s="6"/>
      <c r="Y207" s="6"/>
      <c r="Z207" s="6"/>
      <c r="AA207" s="6" t="s">
        <v>109</v>
      </c>
    </row>
    <row r="208" spans="1:27" s="4" customFormat="1" ht="51.95" customHeight="1">
      <c r="A208" s="5">
        <v>0</v>
      </c>
      <c r="B208" s="6" t="s">
        <v>1405</v>
      </c>
      <c r="C208" s="7">
        <v>2060</v>
      </c>
      <c r="D208" s="8" t="s">
        <v>1406</v>
      </c>
      <c r="E208" s="8" t="s">
        <v>1402</v>
      </c>
      <c r="F208" s="8" t="s">
        <v>1403</v>
      </c>
      <c r="G208" s="6" t="s">
        <v>165</v>
      </c>
      <c r="H208" s="6" t="s">
        <v>38</v>
      </c>
      <c r="I208" s="8" t="s">
        <v>75</v>
      </c>
      <c r="J208" s="9">
        <v>1</v>
      </c>
      <c r="K208" s="9">
        <v>448</v>
      </c>
      <c r="L208" s="9">
        <v>2024</v>
      </c>
      <c r="M208" s="8" t="s">
        <v>1407</v>
      </c>
      <c r="N208" s="8" t="s">
        <v>41</v>
      </c>
      <c r="O208" s="8" t="s">
        <v>42</v>
      </c>
      <c r="P208" s="6" t="s">
        <v>150</v>
      </c>
      <c r="Q208" s="8" t="s">
        <v>78</v>
      </c>
      <c r="R208" s="10" t="s">
        <v>1408</v>
      </c>
      <c r="S208" s="11" t="s">
        <v>1409</v>
      </c>
      <c r="T208" s="6" t="s">
        <v>46</v>
      </c>
      <c r="U208" s="27" t="str">
        <f>HYPERLINK("https://media.infra-m.ru/2090/2090590/cover/2090590.jpg", "Обложка")</f>
        <v>Обложка</v>
      </c>
      <c r="V208" s="27" t="str">
        <f>HYPERLINK("https://znanium.com/catalog/product/2090590", "Ознакомиться")</f>
        <v>Ознакомиться</v>
      </c>
      <c r="W208" s="8" t="s">
        <v>638</v>
      </c>
      <c r="X208" s="6"/>
      <c r="Y208" s="6"/>
      <c r="Z208" s="6" t="s">
        <v>82</v>
      </c>
      <c r="AA208" s="6" t="s">
        <v>83</v>
      </c>
    </row>
    <row r="209" spans="1:27" s="4" customFormat="1" ht="51.95" customHeight="1">
      <c r="A209" s="5">
        <v>0</v>
      </c>
      <c r="B209" s="6" t="s">
        <v>1410</v>
      </c>
      <c r="C209" s="13">
        <v>794.9</v>
      </c>
      <c r="D209" s="8" t="s">
        <v>1411</v>
      </c>
      <c r="E209" s="8" t="s">
        <v>1412</v>
      </c>
      <c r="F209" s="8" t="s">
        <v>1413</v>
      </c>
      <c r="G209" s="6" t="s">
        <v>53</v>
      </c>
      <c r="H209" s="6" t="s">
        <v>1414</v>
      </c>
      <c r="I209" s="8" t="s">
        <v>1415</v>
      </c>
      <c r="J209" s="9">
        <v>1</v>
      </c>
      <c r="K209" s="9">
        <v>208</v>
      </c>
      <c r="L209" s="9">
        <v>2022</v>
      </c>
      <c r="M209" s="8" t="s">
        <v>1416</v>
      </c>
      <c r="N209" s="8" t="s">
        <v>56</v>
      </c>
      <c r="O209" s="8" t="s">
        <v>57</v>
      </c>
      <c r="P209" s="6" t="s">
        <v>1415</v>
      </c>
      <c r="Q209" s="8" t="s">
        <v>89</v>
      </c>
      <c r="R209" s="10" t="s">
        <v>1417</v>
      </c>
      <c r="S209" s="11"/>
      <c r="T209" s="6"/>
      <c r="U209" s="27" t="str">
        <f>HYPERLINK("https://media.infra-m.ru/1850/1850641/cover/1850641.jpg", "Обложка")</f>
        <v>Обложка</v>
      </c>
      <c r="V209" s="27" t="str">
        <f>HYPERLINK("https://znanium.com/catalog/product/1026957", "Ознакомиться")</f>
        <v>Ознакомиться</v>
      </c>
      <c r="W209" s="8" t="s">
        <v>1418</v>
      </c>
      <c r="X209" s="6"/>
      <c r="Y209" s="6"/>
      <c r="Z209" s="6"/>
      <c r="AA209" s="6" t="s">
        <v>622</v>
      </c>
    </row>
    <row r="210" spans="1:27" s="4" customFormat="1" ht="51.95" customHeight="1">
      <c r="A210" s="5">
        <v>0</v>
      </c>
      <c r="B210" s="6" t="s">
        <v>1419</v>
      </c>
      <c r="C210" s="13">
        <v>664.9</v>
      </c>
      <c r="D210" s="8" t="s">
        <v>1420</v>
      </c>
      <c r="E210" s="8" t="s">
        <v>1421</v>
      </c>
      <c r="F210" s="8" t="s">
        <v>1422</v>
      </c>
      <c r="G210" s="6" t="s">
        <v>165</v>
      </c>
      <c r="H210" s="6" t="s">
        <v>1423</v>
      </c>
      <c r="I210" s="8" t="s">
        <v>183</v>
      </c>
      <c r="J210" s="9">
        <v>1</v>
      </c>
      <c r="K210" s="9">
        <v>175</v>
      </c>
      <c r="L210" s="9">
        <v>2022</v>
      </c>
      <c r="M210" s="8" t="s">
        <v>1424</v>
      </c>
      <c r="N210" s="8" t="s">
        <v>56</v>
      </c>
      <c r="O210" s="8" t="s">
        <v>57</v>
      </c>
      <c r="P210" s="6" t="s">
        <v>77</v>
      </c>
      <c r="Q210" s="8" t="s">
        <v>89</v>
      </c>
      <c r="R210" s="10" t="s">
        <v>1425</v>
      </c>
      <c r="S210" s="11" t="s">
        <v>1426</v>
      </c>
      <c r="T210" s="6"/>
      <c r="U210" s="27" t="str">
        <f>HYPERLINK("https://media.infra-m.ru/1836/1836607/cover/1836607.jpg", "Обложка")</f>
        <v>Обложка</v>
      </c>
      <c r="V210" s="27" t="str">
        <f>HYPERLINK("https://znanium.com/catalog/product/1836607", "Ознакомиться")</f>
        <v>Ознакомиться</v>
      </c>
      <c r="W210" s="8" t="s">
        <v>970</v>
      </c>
      <c r="X210" s="6"/>
      <c r="Y210" s="6"/>
      <c r="Z210" s="6"/>
      <c r="AA210" s="6" t="s">
        <v>556</v>
      </c>
    </row>
    <row r="211" spans="1:27" s="4" customFormat="1" ht="51.95" customHeight="1">
      <c r="A211" s="5">
        <v>0</v>
      </c>
      <c r="B211" s="6" t="s">
        <v>1427</v>
      </c>
      <c r="C211" s="7">
        <v>1930</v>
      </c>
      <c r="D211" s="8" t="s">
        <v>1428</v>
      </c>
      <c r="E211" s="8" t="s">
        <v>1429</v>
      </c>
      <c r="F211" s="8" t="s">
        <v>1430</v>
      </c>
      <c r="G211" s="6" t="s">
        <v>37</v>
      </c>
      <c r="H211" s="6" t="s">
        <v>38</v>
      </c>
      <c r="I211" s="8" t="s">
        <v>173</v>
      </c>
      <c r="J211" s="9">
        <v>1</v>
      </c>
      <c r="K211" s="9">
        <v>429</v>
      </c>
      <c r="L211" s="9">
        <v>2023</v>
      </c>
      <c r="M211" s="8" t="s">
        <v>1431</v>
      </c>
      <c r="N211" s="8" t="s">
        <v>56</v>
      </c>
      <c r="O211" s="8" t="s">
        <v>57</v>
      </c>
      <c r="P211" s="6" t="s">
        <v>150</v>
      </c>
      <c r="Q211" s="8" t="s">
        <v>89</v>
      </c>
      <c r="R211" s="10" t="s">
        <v>1050</v>
      </c>
      <c r="S211" s="11" t="s">
        <v>1432</v>
      </c>
      <c r="T211" s="6" t="s">
        <v>46</v>
      </c>
      <c r="U211" s="27" t="str">
        <f>HYPERLINK("https://media.infra-m.ru/1913/1913659/cover/1913659.jpg", "Обложка")</f>
        <v>Обложка</v>
      </c>
      <c r="V211" s="27" t="str">
        <f>HYPERLINK("https://znanium.com/catalog/product/1913659", "Ознакомиться")</f>
        <v>Ознакомиться</v>
      </c>
      <c r="W211" s="8" t="s">
        <v>207</v>
      </c>
      <c r="X211" s="6"/>
      <c r="Y211" s="6"/>
      <c r="Z211" s="6"/>
      <c r="AA211" s="6" t="s">
        <v>101</v>
      </c>
    </row>
    <row r="212" spans="1:27" s="4" customFormat="1" ht="42" customHeight="1">
      <c r="A212" s="5">
        <v>0</v>
      </c>
      <c r="B212" s="6" t="s">
        <v>1433</v>
      </c>
      <c r="C212" s="13">
        <v>490</v>
      </c>
      <c r="D212" s="8" t="s">
        <v>1434</v>
      </c>
      <c r="E212" s="8" t="s">
        <v>1435</v>
      </c>
      <c r="F212" s="8" t="s">
        <v>1436</v>
      </c>
      <c r="G212" s="6" t="s">
        <v>53</v>
      </c>
      <c r="H212" s="6" t="s">
        <v>38</v>
      </c>
      <c r="I212" s="8" t="s">
        <v>617</v>
      </c>
      <c r="J212" s="9">
        <v>1</v>
      </c>
      <c r="K212" s="9">
        <v>92</v>
      </c>
      <c r="L212" s="9">
        <v>2023</v>
      </c>
      <c r="M212" s="8" t="s">
        <v>1437</v>
      </c>
      <c r="N212" s="8" t="s">
        <v>41</v>
      </c>
      <c r="O212" s="8" t="s">
        <v>42</v>
      </c>
      <c r="P212" s="6" t="s">
        <v>185</v>
      </c>
      <c r="Q212" s="8" t="s">
        <v>961</v>
      </c>
      <c r="R212" s="10" t="s">
        <v>1438</v>
      </c>
      <c r="S212" s="11"/>
      <c r="T212" s="6"/>
      <c r="U212" s="27" t="str">
        <f>HYPERLINK("https://media.infra-m.ru/2118/2118097/cover/2118097.jpg", "Обложка")</f>
        <v>Обложка</v>
      </c>
      <c r="V212" s="27" t="str">
        <f>HYPERLINK("https://znanium.com/catalog/product/2085930", "Ознакомиться")</f>
        <v>Ознакомиться</v>
      </c>
      <c r="W212" s="8" t="s">
        <v>215</v>
      </c>
      <c r="X212" s="6"/>
      <c r="Y212" s="6"/>
      <c r="Z212" s="6"/>
      <c r="AA212" s="6" t="s">
        <v>178</v>
      </c>
    </row>
    <row r="213" spans="1:27" s="4" customFormat="1" ht="44.1" customHeight="1">
      <c r="A213" s="5">
        <v>0</v>
      </c>
      <c r="B213" s="6" t="s">
        <v>1439</v>
      </c>
      <c r="C213" s="13">
        <v>940</v>
      </c>
      <c r="D213" s="8" t="s">
        <v>1440</v>
      </c>
      <c r="E213" s="8" t="s">
        <v>1441</v>
      </c>
      <c r="F213" s="8" t="s">
        <v>1442</v>
      </c>
      <c r="G213" s="6" t="s">
        <v>165</v>
      </c>
      <c r="H213" s="6" t="s">
        <v>38</v>
      </c>
      <c r="I213" s="8" t="s">
        <v>764</v>
      </c>
      <c r="J213" s="9">
        <v>1</v>
      </c>
      <c r="K213" s="9">
        <v>195</v>
      </c>
      <c r="L213" s="9">
        <v>2023</v>
      </c>
      <c r="M213" s="8" t="s">
        <v>1443</v>
      </c>
      <c r="N213" s="8" t="s">
        <v>41</v>
      </c>
      <c r="O213" s="8" t="s">
        <v>42</v>
      </c>
      <c r="P213" s="6" t="s">
        <v>58</v>
      </c>
      <c r="Q213" s="8" t="s">
        <v>44</v>
      </c>
      <c r="R213" s="10" t="s">
        <v>1444</v>
      </c>
      <c r="S213" s="11"/>
      <c r="T213" s="6"/>
      <c r="U213" s="27" t="str">
        <f>HYPERLINK("https://media.infra-m.ru/1893/1893199/cover/1893199.jpg", "Обложка")</f>
        <v>Обложка</v>
      </c>
      <c r="V213" s="27" t="str">
        <f>HYPERLINK("https://znanium.com/catalog/product/1893199", "Ознакомиться")</f>
        <v>Ознакомиться</v>
      </c>
      <c r="W213" s="8" t="s">
        <v>1445</v>
      </c>
      <c r="X213" s="6" t="s">
        <v>510</v>
      </c>
      <c r="Y213" s="6"/>
      <c r="Z213" s="6"/>
      <c r="AA213" s="6" t="s">
        <v>61</v>
      </c>
    </row>
    <row r="214" spans="1:27" s="4" customFormat="1" ht="42" customHeight="1">
      <c r="A214" s="5">
        <v>0</v>
      </c>
      <c r="B214" s="6" t="s">
        <v>1446</v>
      </c>
      <c r="C214" s="7">
        <v>1524.9</v>
      </c>
      <c r="D214" s="8" t="s">
        <v>1447</v>
      </c>
      <c r="E214" s="8" t="s">
        <v>1448</v>
      </c>
      <c r="F214" s="8" t="s">
        <v>1449</v>
      </c>
      <c r="G214" s="6" t="s">
        <v>165</v>
      </c>
      <c r="H214" s="6" t="s">
        <v>87</v>
      </c>
      <c r="I214" s="8" t="s">
        <v>609</v>
      </c>
      <c r="J214" s="9">
        <v>1</v>
      </c>
      <c r="K214" s="9">
        <v>336</v>
      </c>
      <c r="L214" s="9">
        <v>2023</v>
      </c>
      <c r="M214" s="8" t="s">
        <v>1450</v>
      </c>
      <c r="N214" s="8" t="s">
        <v>41</v>
      </c>
      <c r="O214" s="8" t="s">
        <v>42</v>
      </c>
      <c r="P214" s="6" t="s">
        <v>77</v>
      </c>
      <c r="Q214" s="8" t="s">
        <v>78</v>
      </c>
      <c r="R214" s="10" t="s">
        <v>1451</v>
      </c>
      <c r="S214" s="11"/>
      <c r="T214" s="6"/>
      <c r="U214" s="27" t="str">
        <f>HYPERLINK("https://media.infra-m.ru/1858/1858823/cover/1858823.jpg", "Обложка")</f>
        <v>Обложка</v>
      </c>
      <c r="V214" s="27" t="str">
        <f>HYPERLINK("https://znanium.com/catalog/product/1154376", "Ознакомиться")</f>
        <v>Ознакомиться</v>
      </c>
      <c r="W214" s="8" t="s">
        <v>278</v>
      </c>
      <c r="X214" s="6"/>
      <c r="Y214" s="6"/>
      <c r="Z214" s="6"/>
      <c r="AA214" s="6" t="s">
        <v>897</v>
      </c>
    </row>
    <row r="215" spans="1:27" s="4" customFormat="1" ht="51.95" customHeight="1">
      <c r="A215" s="5">
        <v>0</v>
      </c>
      <c r="B215" s="6" t="s">
        <v>1452</v>
      </c>
      <c r="C215" s="13">
        <v>890</v>
      </c>
      <c r="D215" s="8" t="s">
        <v>1453</v>
      </c>
      <c r="E215" s="8" t="s">
        <v>1454</v>
      </c>
      <c r="F215" s="8" t="s">
        <v>1455</v>
      </c>
      <c r="G215" s="6" t="s">
        <v>37</v>
      </c>
      <c r="H215" s="6" t="s">
        <v>87</v>
      </c>
      <c r="I215" s="8" t="s">
        <v>75</v>
      </c>
      <c r="J215" s="9">
        <v>1</v>
      </c>
      <c r="K215" s="9">
        <v>192</v>
      </c>
      <c r="L215" s="9">
        <v>2024</v>
      </c>
      <c r="M215" s="8" t="s">
        <v>1456</v>
      </c>
      <c r="N215" s="8" t="s">
        <v>41</v>
      </c>
      <c r="O215" s="8" t="s">
        <v>42</v>
      </c>
      <c r="P215" s="6" t="s">
        <v>185</v>
      </c>
      <c r="Q215" s="8" t="s">
        <v>78</v>
      </c>
      <c r="R215" s="10" t="s">
        <v>1457</v>
      </c>
      <c r="S215" s="11" t="s">
        <v>277</v>
      </c>
      <c r="T215" s="6"/>
      <c r="U215" s="27" t="str">
        <f>HYPERLINK("https://media.infra-m.ru/2078/2078392/cover/2078392.jpg", "Обложка")</f>
        <v>Обложка</v>
      </c>
      <c r="V215" s="27" t="str">
        <f>HYPERLINK("https://znanium.com/catalog/product/2078392", "Ознакомиться")</f>
        <v>Ознакомиться</v>
      </c>
      <c r="W215" s="8" t="s">
        <v>444</v>
      </c>
      <c r="X215" s="6"/>
      <c r="Y215" s="6"/>
      <c r="Z215" s="6" t="s">
        <v>82</v>
      </c>
      <c r="AA215" s="6" t="s">
        <v>70</v>
      </c>
    </row>
    <row r="216" spans="1:27" s="4" customFormat="1" ht="51.95" customHeight="1">
      <c r="A216" s="5">
        <v>0</v>
      </c>
      <c r="B216" s="6" t="s">
        <v>1458</v>
      </c>
      <c r="C216" s="13">
        <v>920</v>
      </c>
      <c r="D216" s="8" t="s">
        <v>1459</v>
      </c>
      <c r="E216" s="8" t="s">
        <v>1454</v>
      </c>
      <c r="F216" s="8" t="s">
        <v>1455</v>
      </c>
      <c r="G216" s="6" t="s">
        <v>53</v>
      </c>
      <c r="H216" s="6" t="s">
        <v>87</v>
      </c>
      <c r="I216" s="8" t="s">
        <v>183</v>
      </c>
      <c r="J216" s="9">
        <v>1</v>
      </c>
      <c r="K216" s="9">
        <v>192</v>
      </c>
      <c r="L216" s="9">
        <v>2024</v>
      </c>
      <c r="M216" s="8" t="s">
        <v>1460</v>
      </c>
      <c r="N216" s="8" t="s">
        <v>41</v>
      </c>
      <c r="O216" s="8" t="s">
        <v>42</v>
      </c>
      <c r="P216" s="6" t="s">
        <v>185</v>
      </c>
      <c r="Q216" s="8" t="s">
        <v>89</v>
      </c>
      <c r="R216" s="10" t="s">
        <v>442</v>
      </c>
      <c r="S216" s="11" t="s">
        <v>1461</v>
      </c>
      <c r="T216" s="6"/>
      <c r="U216" s="27" t="str">
        <f>HYPERLINK("https://media.infra-m.ru/2117/2117177/cover/2117177.jpg", "Обложка")</f>
        <v>Обложка</v>
      </c>
      <c r="V216" s="27" t="str">
        <f>HYPERLINK("https://znanium.com/catalog/product/2117177", "Ознакомиться")</f>
        <v>Ознакомиться</v>
      </c>
      <c r="W216" s="8" t="s">
        <v>444</v>
      </c>
      <c r="X216" s="6"/>
      <c r="Y216" s="6"/>
      <c r="Z216" s="6"/>
      <c r="AA216" s="6" t="s">
        <v>208</v>
      </c>
    </row>
    <row r="217" spans="1:27" s="4" customFormat="1" ht="44.1" customHeight="1">
      <c r="A217" s="5">
        <v>0</v>
      </c>
      <c r="B217" s="6" t="s">
        <v>1462</v>
      </c>
      <c r="C217" s="7">
        <v>1190</v>
      </c>
      <c r="D217" s="8" t="s">
        <v>1463</v>
      </c>
      <c r="E217" s="8" t="s">
        <v>1464</v>
      </c>
      <c r="F217" s="8" t="s">
        <v>1465</v>
      </c>
      <c r="G217" s="6" t="s">
        <v>53</v>
      </c>
      <c r="H217" s="6" t="s">
        <v>38</v>
      </c>
      <c r="I217" s="8" t="s">
        <v>54</v>
      </c>
      <c r="J217" s="9">
        <v>1</v>
      </c>
      <c r="K217" s="9">
        <v>260</v>
      </c>
      <c r="L217" s="9">
        <v>2024</v>
      </c>
      <c r="M217" s="8" t="s">
        <v>1466</v>
      </c>
      <c r="N217" s="8" t="s">
        <v>41</v>
      </c>
      <c r="O217" s="8" t="s">
        <v>42</v>
      </c>
      <c r="P217" s="6" t="s">
        <v>58</v>
      </c>
      <c r="Q217" s="8" t="s">
        <v>44</v>
      </c>
      <c r="R217" s="10" t="s">
        <v>1467</v>
      </c>
      <c r="S217" s="11"/>
      <c r="T217" s="6"/>
      <c r="U217" s="27" t="str">
        <f>HYPERLINK("https://media.infra-m.ru/1891/1891837/cover/1891837.jpg", "Обложка")</f>
        <v>Обложка</v>
      </c>
      <c r="V217" s="27" t="str">
        <f>HYPERLINK("https://znanium.com/catalog/product/1891837", "Ознакомиться")</f>
        <v>Ознакомиться</v>
      </c>
      <c r="W217" s="8" t="s">
        <v>917</v>
      </c>
      <c r="X217" s="6"/>
      <c r="Y217" s="6"/>
      <c r="Z217" s="6"/>
      <c r="AA217" s="6" t="s">
        <v>48</v>
      </c>
    </row>
    <row r="218" spans="1:27" s="4" customFormat="1" ht="42" customHeight="1">
      <c r="A218" s="5">
        <v>0</v>
      </c>
      <c r="B218" s="6" t="s">
        <v>1468</v>
      </c>
      <c r="C218" s="13">
        <v>360</v>
      </c>
      <c r="D218" s="8" t="s">
        <v>1469</v>
      </c>
      <c r="E218" s="8" t="s">
        <v>1470</v>
      </c>
      <c r="F218" s="8" t="s">
        <v>1471</v>
      </c>
      <c r="G218" s="6" t="s">
        <v>53</v>
      </c>
      <c r="H218" s="6" t="s">
        <v>38</v>
      </c>
      <c r="I218" s="8" t="s">
        <v>183</v>
      </c>
      <c r="J218" s="9">
        <v>1</v>
      </c>
      <c r="K218" s="9">
        <v>71</v>
      </c>
      <c r="L218" s="9">
        <v>2024</v>
      </c>
      <c r="M218" s="8" t="s">
        <v>1472</v>
      </c>
      <c r="N218" s="8" t="s">
        <v>41</v>
      </c>
      <c r="O218" s="8" t="s">
        <v>42</v>
      </c>
      <c r="P218" s="6" t="s">
        <v>541</v>
      </c>
      <c r="Q218" s="8" t="s">
        <v>316</v>
      </c>
      <c r="R218" s="10" t="s">
        <v>926</v>
      </c>
      <c r="S218" s="11"/>
      <c r="T218" s="6"/>
      <c r="U218" s="27" t="str">
        <f>HYPERLINK("https://media.infra-m.ru/2106/2106741/cover/2106741.jpg", "Обложка")</f>
        <v>Обложка</v>
      </c>
      <c r="V218" s="27" t="str">
        <f>HYPERLINK("https://znanium.com/catalog/product/2106741", "Ознакомиться")</f>
        <v>Ознакомиться</v>
      </c>
      <c r="W218" s="8" t="s">
        <v>562</v>
      </c>
      <c r="X218" s="6"/>
      <c r="Y218" s="6"/>
      <c r="Z218" s="6"/>
      <c r="AA218" s="6" t="s">
        <v>128</v>
      </c>
    </row>
    <row r="219" spans="1:27" s="4" customFormat="1" ht="51.95" customHeight="1">
      <c r="A219" s="5">
        <v>0</v>
      </c>
      <c r="B219" s="6" t="s">
        <v>1473</v>
      </c>
      <c r="C219" s="7">
        <v>1380</v>
      </c>
      <c r="D219" s="8" t="s">
        <v>1474</v>
      </c>
      <c r="E219" s="8" t="s">
        <v>1475</v>
      </c>
      <c r="F219" s="8" t="s">
        <v>1476</v>
      </c>
      <c r="G219" s="6" t="s">
        <v>37</v>
      </c>
      <c r="H219" s="6" t="s">
        <v>38</v>
      </c>
      <c r="I219" s="8" t="s">
        <v>75</v>
      </c>
      <c r="J219" s="9">
        <v>1</v>
      </c>
      <c r="K219" s="9">
        <v>298</v>
      </c>
      <c r="L219" s="9">
        <v>2024</v>
      </c>
      <c r="M219" s="8" t="s">
        <v>1477</v>
      </c>
      <c r="N219" s="8" t="s">
        <v>41</v>
      </c>
      <c r="O219" s="8" t="s">
        <v>42</v>
      </c>
      <c r="P219" s="6" t="s">
        <v>185</v>
      </c>
      <c r="Q219" s="8" t="s">
        <v>78</v>
      </c>
      <c r="R219" s="10" t="s">
        <v>474</v>
      </c>
      <c r="S219" s="11" t="s">
        <v>1478</v>
      </c>
      <c r="T219" s="6"/>
      <c r="U219" s="27" t="str">
        <f>HYPERLINK("https://media.infra-m.ru/2082/2082162/cover/2082162.jpg", "Обложка")</f>
        <v>Обложка</v>
      </c>
      <c r="V219" s="27" t="str">
        <f>HYPERLINK("https://znanium.com/catalog/product/2082162", "Ознакомиться")</f>
        <v>Ознакомиться</v>
      </c>
      <c r="W219" s="8" t="s">
        <v>1479</v>
      </c>
      <c r="X219" s="6"/>
      <c r="Y219" s="6"/>
      <c r="Z219" s="6"/>
      <c r="AA219" s="6" t="s">
        <v>128</v>
      </c>
    </row>
    <row r="220" spans="1:27" s="4" customFormat="1" ht="51.95" customHeight="1">
      <c r="A220" s="5">
        <v>0</v>
      </c>
      <c r="B220" s="6" t="s">
        <v>1480</v>
      </c>
      <c r="C220" s="7">
        <v>1490</v>
      </c>
      <c r="D220" s="8" t="s">
        <v>1481</v>
      </c>
      <c r="E220" s="8" t="s">
        <v>1482</v>
      </c>
      <c r="F220" s="8" t="s">
        <v>1476</v>
      </c>
      <c r="G220" s="6" t="s">
        <v>37</v>
      </c>
      <c r="H220" s="6" t="s">
        <v>38</v>
      </c>
      <c r="I220" s="8" t="s">
        <v>75</v>
      </c>
      <c r="J220" s="9">
        <v>1</v>
      </c>
      <c r="K220" s="9">
        <v>322</v>
      </c>
      <c r="L220" s="9">
        <v>2024</v>
      </c>
      <c r="M220" s="8" t="s">
        <v>1483</v>
      </c>
      <c r="N220" s="8" t="s">
        <v>41</v>
      </c>
      <c r="O220" s="8" t="s">
        <v>42</v>
      </c>
      <c r="P220" s="6" t="s">
        <v>185</v>
      </c>
      <c r="Q220" s="8" t="s">
        <v>78</v>
      </c>
      <c r="R220" s="10" t="s">
        <v>474</v>
      </c>
      <c r="S220" s="11" t="s">
        <v>1478</v>
      </c>
      <c r="T220" s="6"/>
      <c r="U220" s="27" t="str">
        <f>HYPERLINK("https://media.infra-m.ru/2083/2083371/cover/2083371.jpg", "Обложка")</f>
        <v>Обложка</v>
      </c>
      <c r="V220" s="27" t="str">
        <f>HYPERLINK("https://znanium.com/catalog/product/2083371", "Ознакомиться")</f>
        <v>Ознакомиться</v>
      </c>
      <c r="W220" s="8" t="s">
        <v>1479</v>
      </c>
      <c r="X220" s="6"/>
      <c r="Y220" s="6"/>
      <c r="Z220" s="6"/>
      <c r="AA220" s="6" t="s">
        <v>136</v>
      </c>
    </row>
    <row r="221" spans="1:27" s="4" customFormat="1" ht="51.95" customHeight="1">
      <c r="A221" s="5">
        <v>0</v>
      </c>
      <c r="B221" s="6" t="s">
        <v>1484</v>
      </c>
      <c r="C221" s="7">
        <v>1450</v>
      </c>
      <c r="D221" s="8" t="s">
        <v>1485</v>
      </c>
      <c r="E221" s="8" t="s">
        <v>1486</v>
      </c>
      <c r="F221" s="8" t="s">
        <v>1476</v>
      </c>
      <c r="G221" s="6" t="s">
        <v>37</v>
      </c>
      <c r="H221" s="6" t="s">
        <v>38</v>
      </c>
      <c r="I221" s="8" t="s">
        <v>75</v>
      </c>
      <c r="J221" s="9">
        <v>1</v>
      </c>
      <c r="K221" s="9">
        <v>323</v>
      </c>
      <c r="L221" s="9">
        <v>2023</v>
      </c>
      <c r="M221" s="8" t="s">
        <v>1487</v>
      </c>
      <c r="N221" s="8" t="s">
        <v>41</v>
      </c>
      <c r="O221" s="8" t="s">
        <v>42</v>
      </c>
      <c r="P221" s="6" t="s">
        <v>185</v>
      </c>
      <c r="Q221" s="8" t="s">
        <v>78</v>
      </c>
      <c r="R221" s="10" t="s">
        <v>474</v>
      </c>
      <c r="S221" s="11" t="s">
        <v>1488</v>
      </c>
      <c r="T221" s="6"/>
      <c r="U221" s="27" t="str">
        <f>HYPERLINK("https://media.infra-m.ru/1913/1913319/cover/1913319.jpg", "Обложка")</f>
        <v>Обложка</v>
      </c>
      <c r="V221" s="27" t="str">
        <f>HYPERLINK("https://znanium.com/catalog/product/1913319", "Ознакомиться")</f>
        <v>Ознакомиться</v>
      </c>
      <c r="W221" s="8" t="s">
        <v>1479</v>
      </c>
      <c r="X221" s="6"/>
      <c r="Y221" s="6"/>
      <c r="Z221" s="6"/>
      <c r="AA221" s="6" t="s">
        <v>136</v>
      </c>
    </row>
    <row r="222" spans="1:27" s="4" customFormat="1" ht="51.95" customHeight="1">
      <c r="A222" s="5">
        <v>0</v>
      </c>
      <c r="B222" s="6" t="s">
        <v>1489</v>
      </c>
      <c r="C222" s="7">
        <v>1520</v>
      </c>
      <c r="D222" s="8" t="s">
        <v>1490</v>
      </c>
      <c r="E222" s="8" t="s">
        <v>1491</v>
      </c>
      <c r="F222" s="8" t="s">
        <v>1476</v>
      </c>
      <c r="G222" s="6" t="s">
        <v>37</v>
      </c>
      <c r="H222" s="6" t="s">
        <v>38</v>
      </c>
      <c r="I222" s="8" t="s">
        <v>75</v>
      </c>
      <c r="J222" s="9">
        <v>1</v>
      </c>
      <c r="K222" s="9">
        <v>337</v>
      </c>
      <c r="L222" s="9">
        <v>2023</v>
      </c>
      <c r="M222" s="8" t="s">
        <v>1492</v>
      </c>
      <c r="N222" s="8" t="s">
        <v>41</v>
      </c>
      <c r="O222" s="8" t="s">
        <v>42</v>
      </c>
      <c r="P222" s="6" t="s">
        <v>185</v>
      </c>
      <c r="Q222" s="8" t="s">
        <v>78</v>
      </c>
      <c r="R222" s="10" t="s">
        <v>474</v>
      </c>
      <c r="S222" s="11" t="s">
        <v>1488</v>
      </c>
      <c r="T222" s="6"/>
      <c r="U222" s="27" t="str">
        <f>HYPERLINK("https://media.infra-m.ru/1910/1910881/cover/1910881.jpg", "Обложка")</f>
        <v>Обложка</v>
      </c>
      <c r="V222" s="27" t="str">
        <f>HYPERLINK("https://znanium.com/catalog/product/1910881", "Ознакомиться")</f>
        <v>Ознакомиться</v>
      </c>
      <c r="W222" s="8" t="s">
        <v>1479</v>
      </c>
      <c r="X222" s="6"/>
      <c r="Y222" s="6"/>
      <c r="Z222" s="6"/>
      <c r="AA222" s="6" t="s">
        <v>136</v>
      </c>
    </row>
    <row r="223" spans="1:27" s="4" customFormat="1" ht="51.95" customHeight="1">
      <c r="A223" s="5">
        <v>0</v>
      </c>
      <c r="B223" s="6" t="s">
        <v>1493</v>
      </c>
      <c r="C223" s="7">
        <v>1300</v>
      </c>
      <c r="D223" s="8" t="s">
        <v>1494</v>
      </c>
      <c r="E223" s="8" t="s">
        <v>1495</v>
      </c>
      <c r="F223" s="8" t="s">
        <v>1476</v>
      </c>
      <c r="G223" s="6" t="s">
        <v>37</v>
      </c>
      <c r="H223" s="6" t="s">
        <v>38</v>
      </c>
      <c r="I223" s="8" t="s">
        <v>75</v>
      </c>
      <c r="J223" s="9">
        <v>1</v>
      </c>
      <c r="K223" s="9">
        <v>288</v>
      </c>
      <c r="L223" s="9">
        <v>2023</v>
      </c>
      <c r="M223" s="8" t="s">
        <v>1496</v>
      </c>
      <c r="N223" s="8" t="s">
        <v>41</v>
      </c>
      <c r="O223" s="8" t="s">
        <v>42</v>
      </c>
      <c r="P223" s="6" t="s">
        <v>185</v>
      </c>
      <c r="Q223" s="8" t="s">
        <v>78</v>
      </c>
      <c r="R223" s="10" t="s">
        <v>1497</v>
      </c>
      <c r="S223" s="11" t="s">
        <v>1498</v>
      </c>
      <c r="T223" s="6"/>
      <c r="U223" s="27" t="str">
        <f>HYPERLINK("https://media.infra-m.ru/1910/1910552/cover/1910552.jpg", "Обложка")</f>
        <v>Обложка</v>
      </c>
      <c r="V223" s="27" t="str">
        <f>HYPERLINK("https://znanium.com/catalog/product/1910552", "Ознакомиться")</f>
        <v>Ознакомиться</v>
      </c>
      <c r="W223" s="8" t="s">
        <v>1479</v>
      </c>
      <c r="X223" s="6"/>
      <c r="Y223" s="6"/>
      <c r="Z223" s="6"/>
      <c r="AA223" s="6" t="s">
        <v>48</v>
      </c>
    </row>
    <row r="224" spans="1:27" s="4" customFormat="1" ht="42" customHeight="1">
      <c r="A224" s="5">
        <v>0</v>
      </c>
      <c r="B224" s="6" t="s">
        <v>1499</v>
      </c>
      <c r="C224" s="13">
        <v>740</v>
      </c>
      <c r="D224" s="8" t="s">
        <v>1500</v>
      </c>
      <c r="E224" s="8" t="s">
        <v>1501</v>
      </c>
      <c r="F224" s="8" t="s">
        <v>1502</v>
      </c>
      <c r="G224" s="6" t="s">
        <v>165</v>
      </c>
      <c r="H224" s="6" t="s">
        <v>38</v>
      </c>
      <c r="I224" s="8" t="s">
        <v>39</v>
      </c>
      <c r="J224" s="9">
        <v>1</v>
      </c>
      <c r="K224" s="9">
        <v>165</v>
      </c>
      <c r="L224" s="9">
        <v>2022</v>
      </c>
      <c r="M224" s="8" t="s">
        <v>1503</v>
      </c>
      <c r="N224" s="8" t="s">
        <v>41</v>
      </c>
      <c r="O224" s="8" t="s">
        <v>42</v>
      </c>
      <c r="P224" s="6" t="s">
        <v>185</v>
      </c>
      <c r="Q224" s="8" t="s">
        <v>44</v>
      </c>
      <c r="R224" s="10" t="s">
        <v>1504</v>
      </c>
      <c r="S224" s="11"/>
      <c r="T224" s="6"/>
      <c r="U224" s="27" t="str">
        <f>HYPERLINK("https://media.infra-m.ru/1413/1413774/cover/1413774.jpg", "Обложка")</f>
        <v>Обложка</v>
      </c>
      <c r="V224" s="27" t="str">
        <f>HYPERLINK("https://znanium.com/catalog/product/1413774", "Ознакомиться")</f>
        <v>Ознакомиться</v>
      </c>
      <c r="W224" s="8" t="s">
        <v>1505</v>
      </c>
      <c r="X224" s="6"/>
      <c r="Y224" s="6"/>
      <c r="Z224" s="6"/>
      <c r="AA224" s="6" t="s">
        <v>178</v>
      </c>
    </row>
    <row r="225" spans="1:27" s="4" customFormat="1" ht="42" customHeight="1">
      <c r="A225" s="5">
        <v>0</v>
      </c>
      <c r="B225" s="6" t="s">
        <v>1506</v>
      </c>
      <c r="C225" s="13">
        <v>810</v>
      </c>
      <c r="D225" s="8" t="s">
        <v>1507</v>
      </c>
      <c r="E225" s="8" t="s">
        <v>1508</v>
      </c>
      <c r="F225" s="8" t="s">
        <v>1509</v>
      </c>
      <c r="G225" s="6" t="s">
        <v>53</v>
      </c>
      <c r="H225" s="6" t="s">
        <v>38</v>
      </c>
      <c r="I225" s="8" t="s">
        <v>54</v>
      </c>
      <c r="J225" s="9">
        <v>1</v>
      </c>
      <c r="K225" s="9">
        <v>167</v>
      </c>
      <c r="L225" s="9">
        <v>2023</v>
      </c>
      <c r="M225" s="8" t="s">
        <v>1510</v>
      </c>
      <c r="N225" s="8" t="s">
        <v>41</v>
      </c>
      <c r="O225" s="8" t="s">
        <v>42</v>
      </c>
      <c r="P225" s="6" t="s">
        <v>58</v>
      </c>
      <c r="Q225" s="8" t="s">
        <v>44</v>
      </c>
      <c r="R225" s="10" t="s">
        <v>1511</v>
      </c>
      <c r="S225" s="11"/>
      <c r="T225" s="6"/>
      <c r="U225" s="27" t="str">
        <f>HYPERLINK("https://media.infra-m.ru/1897/1897148/cover/1897148.jpg", "Обложка")</f>
        <v>Обложка</v>
      </c>
      <c r="V225" s="27" t="str">
        <f>HYPERLINK("https://znanium.com/catalog/product/1897148", "Ознакомиться")</f>
        <v>Ознакомиться</v>
      </c>
      <c r="W225" s="8" t="s">
        <v>278</v>
      </c>
      <c r="X225" s="6" t="s">
        <v>1512</v>
      </c>
      <c r="Y225" s="6"/>
      <c r="Z225" s="6"/>
      <c r="AA225" s="6" t="s">
        <v>61</v>
      </c>
    </row>
    <row r="226" spans="1:27" s="4" customFormat="1" ht="51.95" customHeight="1">
      <c r="A226" s="5">
        <v>0</v>
      </c>
      <c r="B226" s="6" t="s">
        <v>1513</v>
      </c>
      <c r="C226" s="13">
        <v>580</v>
      </c>
      <c r="D226" s="8" t="s">
        <v>1514</v>
      </c>
      <c r="E226" s="8" t="s">
        <v>1515</v>
      </c>
      <c r="F226" s="8" t="s">
        <v>1516</v>
      </c>
      <c r="G226" s="6" t="s">
        <v>53</v>
      </c>
      <c r="H226" s="6" t="s">
        <v>38</v>
      </c>
      <c r="I226" s="8" t="s">
        <v>173</v>
      </c>
      <c r="J226" s="9">
        <v>1</v>
      </c>
      <c r="K226" s="9">
        <v>109</v>
      </c>
      <c r="L226" s="9">
        <v>2023</v>
      </c>
      <c r="M226" s="8" t="s">
        <v>1517</v>
      </c>
      <c r="N226" s="8" t="s">
        <v>41</v>
      </c>
      <c r="O226" s="8" t="s">
        <v>42</v>
      </c>
      <c r="P226" s="6" t="s">
        <v>77</v>
      </c>
      <c r="Q226" s="8" t="s">
        <v>89</v>
      </c>
      <c r="R226" s="10" t="s">
        <v>1518</v>
      </c>
      <c r="S226" s="11" t="s">
        <v>1519</v>
      </c>
      <c r="T226" s="6" t="s">
        <v>46</v>
      </c>
      <c r="U226" s="27" t="str">
        <f>HYPERLINK("https://media.infra-m.ru/1892/1892036/cover/1892036.jpg", "Обложка")</f>
        <v>Обложка</v>
      </c>
      <c r="V226" s="27" t="str">
        <f>HYPERLINK("https://znanium.com/catalog/product/1892036", "Ознакомиться")</f>
        <v>Ознакомиться</v>
      </c>
      <c r="W226" s="8" t="s">
        <v>917</v>
      </c>
      <c r="X226" s="6"/>
      <c r="Y226" s="6"/>
      <c r="Z226" s="6"/>
      <c r="AA226" s="6" t="s">
        <v>70</v>
      </c>
    </row>
    <row r="227" spans="1:27" s="4" customFormat="1" ht="51.95" customHeight="1">
      <c r="A227" s="5">
        <v>0</v>
      </c>
      <c r="B227" s="6" t="s">
        <v>1520</v>
      </c>
      <c r="C227" s="7">
        <v>1104</v>
      </c>
      <c r="D227" s="8" t="s">
        <v>1521</v>
      </c>
      <c r="E227" s="8" t="s">
        <v>1522</v>
      </c>
      <c r="F227" s="8" t="s">
        <v>1523</v>
      </c>
      <c r="G227" s="6" t="s">
        <v>37</v>
      </c>
      <c r="H227" s="6" t="s">
        <v>878</v>
      </c>
      <c r="I227" s="8" t="s">
        <v>75</v>
      </c>
      <c r="J227" s="9">
        <v>1</v>
      </c>
      <c r="K227" s="9">
        <v>240</v>
      </c>
      <c r="L227" s="9">
        <v>2024</v>
      </c>
      <c r="M227" s="8" t="s">
        <v>1524</v>
      </c>
      <c r="N227" s="8" t="s">
        <v>56</v>
      </c>
      <c r="O227" s="8" t="s">
        <v>57</v>
      </c>
      <c r="P227" s="6" t="s">
        <v>150</v>
      </c>
      <c r="Q227" s="8" t="s">
        <v>78</v>
      </c>
      <c r="R227" s="10" t="s">
        <v>1525</v>
      </c>
      <c r="S227" s="11" t="s">
        <v>1526</v>
      </c>
      <c r="T227" s="6"/>
      <c r="U227" s="27" t="str">
        <f>HYPERLINK("https://media.infra-m.ru/2103/2103705/cover/2103705.jpg", "Обложка")</f>
        <v>Обложка</v>
      </c>
      <c r="V227" s="27" t="str">
        <f>HYPERLINK("https://znanium.com/catalog/product/1979944", "Ознакомиться")</f>
        <v>Ознакомиться</v>
      </c>
      <c r="W227" s="8" t="s">
        <v>874</v>
      </c>
      <c r="X227" s="6"/>
      <c r="Y227" s="6"/>
      <c r="Z227" s="6"/>
      <c r="AA227" s="6" t="s">
        <v>1330</v>
      </c>
    </row>
    <row r="228" spans="1:27" s="4" customFormat="1" ht="44.1" customHeight="1">
      <c r="A228" s="5">
        <v>0</v>
      </c>
      <c r="B228" s="6" t="s">
        <v>1527</v>
      </c>
      <c r="C228" s="7">
        <v>1800</v>
      </c>
      <c r="D228" s="8" t="s">
        <v>1528</v>
      </c>
      <c r="E228" s="8" t="s">
        <v>1529</v>
      </c>
      <c r="F228" s="8" t="s">
        <v>1530</v>
      </c>
      <c r="G228" s="6" t="s">
        <v>37</v>
      </c>
      <c r="H228" s="6" t="s">
        <v>38</v>
      </c>
      <c r="I228" s="8" t="s">
        <v>183</v>
      </c>
      <c r="J228" s="9">
        <v>1</v>
      </c>
      <c r="K228" s="9">
        <v>390</v>
      </c>
      <c r="L228" s="9">
        <v>2023</v>
      </c>
      <c r="M228" s="8" t="s">
        <v>1531</v>
      </c>
      <c r="N228" s="8" t="s">
        <v>41</v>
      </c>
      <c r="O228" s="8" t="s">
        <v>42</v>
      </c>
      <c r="P228" s="6" t="s">
        <v>77</v>
      </c>
      <c r="Q228" s="8" t="s">
        <v>316</v>
      </c>
      <c r="R228" s="10" t="s">
        <v>1532</v>
      </c>
      <c r="S228" s="11"/>
      <c r="T228" s="6"/>
      <c r="U228" s="27" t="str">
        <f>HYPERLINK("https://media.infra-m.ru/2043/2043316/cover/2043316.jpg", "Обложка")</f>
        <v>Обложка</v>
      </c>
      <c r="V228" s="27" t="str">
        <f>HYPERLINK("https://znanium.com/catalog/product/2043316", "Ознакомиться")</f>
        <v>Ознакомиться</v>
      </c>
      <c r="W228" s="8" t="s">
        <v>779</v>
      </c>
      <c r="X228" s="6"/>
      <c r="Y228" s="6"/>
      <c r="Z228" s="6"/>
      <c r="AA228" s="6" t="s">
        <v>109</v>
      </c>
    </row>
    <row r="229" spans="1:27" s="4" customFormat="1" ht="51.95" customHeight="1">
      <c r="A229" s="5">
        <v>0</v>
      </c>
      <c r="B229" s="6" t="s">
        <v>1533</v>
      </c>
      <c r="C229" s="7">
        <v>1300</v>
      </c>
      <c r="D229" s="8" t="s">
        <v>1534</v>
      </c>
      <c r="E229" s="8" t="s">
        <v>1535</v>
      </c>
      <c r="F229" s="8" t="s">
        <v>1536</v>
      </c>
      <c r="G229" s="6" t="s">
        <v>37</v>
      </c>
      <c r="H229" s="6" t="s">
        <v>878</v>
      </c>
      <c r="I229" s="8" t="s">
        <v>75</v>
      </c>
      <c r="J229" s="9">
        <v>1</v>
      </c>
      <c r="K229" s="9">
        <v>288</v>
      </c>
      <c r="L229" s="9">
        <v>2023</v>
      </c>
      <c r="M229" s="8" t="s">
        <v>1537</v>
      </c>
      <c r="N229" s="8" t="s">
        <v>56</v>
      </c>
      <c r="O229" s="8" t="s">
        <v>57</v>
      </c>
      <c r="P229" s="6" t="s">
        <v>150</v>
      </c>
      <c r="Q229" s="8" t="s">
        <v>78</v>
      </c>
      <c r="R229" s="10" t="s">
        <v>1538</v>
      </c>
      <c r="S229" s="11" t="s">
        <v>1526</v>
      </c>
      <c r="T229" s="6"/>
      <c r="U229" s="27" t="str">
        <f>HYPERLINK("https://media.infra-m.ru/1979/1979975/cover/1979975.jpg", "Обложка")</f>
        <v>Обложка</v>
      </c>
      <c r="V229" s="27" t="str">
        <f>HYPERLINK("https://znanium.com/catalog/product/1979975", "Ознакомиться")</f>
        <v>Ознакомиться</v>
      </c>
      <c r="W229" s="8" t="s">
        <v>874</v>
      </c>
      <c r="X229" s="6"/>
      <c r="Y229" s="6"/>
      <c r="Z229" s="6"/>
      <c r="AA229" s="6" t="s">
        <v>1539</v>
      </c>
    </row>
    <row r="230" spans="1:27" s="4" customFormat="1" ht="51.95" customHeight="1">
      <c r="A230" s="5">
        <v>0</v>
      </c>
      <c r="B230" s="6" t="s">
        <v>1540</v>
      </c>
      <c r="C230" s="7">
        <v>1044</v>
      </c>
      <c r="D230" s="8" t="s">
        <v>1541</v>
      </c>
      <c r="E230" s="8" t="s">
        <v>1542</v>
      </c>
      <c r="F230" s="8" t="s">
        <v>1543</v>
      </c>
      <c r="G230" s="6" t="s">
        <v>37</v>
      </c>
      <c r="H230" s="6" t="s">
        <v>38</v>
      </c>
      <c r="I230" s="8" t="s">
        <v>75</v>
      </c>
      <c r="J230" s="9">
        <v>1</v>
      </c>
      <c r="K230" s="9">
        <v>231</v>
      </c>
      <c r="L230" s="9">
        <v>2023</v>
      </c>
      <c r="M230" s="8" t="s">
        <v>1544</v>
      </c>
      <c r="N230" s="8" t="s">
        <v>41</v>
      </c>
      <c r="O230" s="8" t="s">
        <v>42</v>
      </c>
      <c r="P230" s="6" t="s">
        <v>77</v>
      </c>
      <c r="Q230" s="8" t="s">
        <v>78</v>
      </c>
      <c r="R230" s="10" t="s">
        <v>1545</v>
      </c>
      <c r="S230" s="11"/>
      <c r="T230" s="6" t="s">
        <v>46</v>
      </c>
      <c r="U230" s="27" t="str">
        <f>HYPERLINK("https://media.infra-m.ru/2062/2062476/cover/2062476.jpg", "Обложка")</f>
        <v>Обложка</v>
      </c>
      <c r="V230" s="27" t="str">
        <f>HYPERLINK("https://znanium.com/catalog/product/2051441", "Ознакомиться")</f>
        <v>Ознакомиться</v>
      </c>
      <c r="W230" s="8" t="s">
        <v>100</v>
      </c>
      <c r="X230" s="6"/>
      <c r="Y230" s="6"/>
      <c r="Z230" s="6" t="s">
        <v>82</v>
      </c>
      <c r="AA230" s="6" t="s">
        <v>189</v>
      </c>
    </row>
    <row r="231" spans="1:27" s="4" customFormat="1" ht="51.95" customHeight="1">
      <c r="A231" s="5">
        <v>0</v>
      </c>
      <c r="B231" s="6" t="s">
        <v>1546</v>
      </c>
      <c r="C231" s="13">
        <v>730</v>
      </c>
      <c r="D231" s="8" t="s">
        <v>1547</v>
      </c>
      <c r="E231" s="8" t="s">
        <v>1542</v>
      </c>
      <c r="F231" s="8" t="s">
        <v>1543</v>
      </c>
      <c r="G231" s="6" t="s">
        <v>37</v>
      </c>
      <c r="H231" s="6" t="s">
        <v>38</v>
      </c>
      <c r="I231" s="8" t="s">
        <v>183</v>
      </c>
      <c r="J231" s="9">
        <v>1</v>
      </c>
      <c r="K231" s="9">
        <v>152</v>
      </c>
      <c r="L231" s="9">
        <v>2024</v>
      </c>
      <c r="M231" s="8" t="s">
        <v>1548</v>
      </c>
      <c r="N231" s="8" t="s">
        <v>41</v>
      </c>
      <c r="O231" s="8" t="s">
        <v>42</v>
      </c>
      <c r="P231" s="6" t="s">
        <v>77</v>
      </c>
      <c r="Q231" s="8" t="s">
        <v>89</v>
      </c>
      <c r="R231" s="10" t="s">
        <v>1253</v>
      </c>
      <c r="S231" s="11" t="s">
        <v>1549</v>
      </c>
      <c r="T231" s="6" t="s">
        <v>46</v>
      </c>
      <c r="U231" s="27" t="str">
        <f>HYPERLINK("https://media.infra-m.ru/2085/2085567/cover/2085567.jpg", "Обложка")</f>
        <v>Обложка</v>
      </c>
      <c r="V231" s="27" t="str">
        <f>HYPERLINK("https://znanium.com/catalog/product/2085567", "Ознакомиться")</f>
        <v>Ознакомиться</v>
      </c>
      <c r="W231" s="8" t="s">
        <v>100</v>
      </c>
      <c r="X231" s="6"/>
      <c r="Y231" s="6"/>
      <c r="Z231" s="6"/>
      <c r="AA231" s="6" t="s">
        <v>543</v>
      </c>
    </row>
    <row r="232" spans="1:27" s="4" customFormat="1" ht="51.95" customHeight="1">
      <c r="A232" s="5">
        <v>0</v>
      </c>
      <c r="B232" s="6" t="s">
        <v>1550</v>
      </c>
      <c r="C232" s="7">
        <v>2600</v>
      </c>
      <c r="D232" s="8" t="s">
        <v>1551</v>
      </c>
      <c r="E232" s="8" t="s">
        <v>1552</v>
      </c>
      <c r="F232" s="8" t="s">
        <v>1553</v>
      </c>
      <c r="G232" s="6" t="s">
        <v>165</v>
      </c>
      <c r="H232" s="6" t="s">
        <v>38</v>
      </c>
      <c r="I232" s="8" t="s">
        <v>183</v>
      </c>
      <c r="J232" s="9">
        <v>1</v>
      </c>
      <c r="K232" s="9">
        <v>660</v>
      </c>
      <c r="L232" s="9">
        <v>2023</v>
      </c>
      <c r="M232" s="8" t="s">
        <v>1554</v>
      </c>
      <c r="N232" s="8" t="s">
        <v>56</v>
      </c>
      <c r="O232" s="8" t="s">
        <v>57</v>
      </c>
      <c r="P232" s="6" t="s">
        <v>150</v>
      </c>
      <c r="Q232" s="8" t="s">
        <v>316</v>
      </c>
      <c r="R232" s="10" t="s">
        <v>392</v>
      </c>
      <c r="S232" s="11" t="s">
        <v>1555</v>
      </c>
      <c r="T232" s="6" t="s">
        <v>46</v>
      </c>
      <c r="U232" s="27" t="str">
        <f>HYPERLINK("https://media.infra-m.ru/2032/2032575/cover/2032575.jpg", "Обложка")</f>
        <v>Обложка</v>
      </c>
      <c r="V232" s="27" t="str">
        <f>HYPERLINK("https://znanium.com/catalog/product/1905253", "Ознакомиться")</f>
        <v>Ознакомиться</v>
      </c>
      <c r="W232" s="8" t="s">
        <v>1556</v>
      </c>
      <c r="X232" s="6"/>
      <c r="Y232" s="6"/>
      <c r="Z232" s="6"/>
      <c r="AA232" s="6" t="s">
        <v>317</v>
      </c>
    </row>
    <row r="233" spans="1:27" s="4" customFormat="1" ht="51.95" customHeight="1">
      <c r="A233" s="5">
        <v>0</v>
      </c>
      <c r="B233" s="6" t="s">
        <v>1557</v>
      </c>
      <c r="C233" s="7">
        <v>2900</v>
      </c>
      <c r="D233" s="8" t="s">
        <v>1558</v>
      </c>
      <c r="E233" s="8" t="s">
        <v>1552</v>
      </c>
      <c r="F233" s="8" t="s">
        <v>1553</v>
      </c>
      <c r="G233" s="6" t="s">
        <v>165</v>
      </c>
      <c r="H233" s="6" t="s">
        <v>38</v>
      </c>
      <c r="I233" s="8" t="s">
        <v>738</v>
      </c>
      <c r="J233" s="9">
        <v>1</v>
      </c>
      <c r="K233" s="9">
        <v>660</v>
      </c>
      <c r="L233" s="9">
        <v>2024</v>
      </c>
      <c r="M233" s="8" t="s">
        <v>1559</v>
      </c>
      <c r="N233" s="8" t="s">
        <v>56</v>
      </c>
      <c r="O233" s="8" t="s">
        <v>57</v>
      </c>
      <c r="P233" s="6" t="s">
        <v>150</v>
      </c>
      <c r="Q233" s="8" t="s">
        <v>740</v>
      </c>
      <c r="R233" s="10" t="s">
        <v>1560</v>
      </c>
      <c r="S233" s="11" t="s">
        <v>1561</v>
      </c>
      <c r="T233" s="6" t="s">
        <v>46</v>
      </c>
      <c r="U233" s="27" t="str">
        <f>HYPERLINK("https://media.infra-m.ru/2073/2073492/cover/2073492.jpg", "Обложка")</f>
        <v>Обложка</v>
      </c>
      <c r="V233" s="27" t="str">
        <f>HYPERLINK("https://znanium.com/catalog/product/2073492", "Ознакомиться")</f>
        <v>Ознакомиться</v>
      </c>
      <c r="W233" s="8" t="s">
        <v>1556</v>
      </c>
      <c r="X233" s="6"/>
      <c r="Y233" s="6"/>
      <c r="Z233" s="6" t="s">
        <v>1562</v>
      </c>
      <c r="AA233" s="6" t="s">
        <v>317</v>
      </c>
    </row>
    <row r="234" spans="1:27" s="4" customFormat="1" ht="51.95" customHeight="1">
      <c r="A234" s="5">
        <v>0</v>
      </c>
      <c r="B234" s="6" t="s">
        <v>1563</v>
      </c>
      <c r="C234" s="7">
        <v>1220</v>
      </c>
      <c r="D234" s="8" t="s">
        <v>1564</v>
      </c>
      <c r="E234" s="8" t="s">
        <v>1565</v>
      </c>
      <c r="F234" s="8" t="s">
        <v>1566</v>
      </c>
      <c r="G234" s="6" t="s">
        <v>37</v>
      </c>
      <c r="H234" s="6" t="s">
        <v>38</v>
      </c>
      <c r="I234" s="8" t="s">
        <v>183</v>
      </c>
      <c r="J234" s="9">
        <v>1</v>
      </c>
      <c r="K234" s="9">
        <v>272</v>
      </c>
      <c r="L234" s="9">
        <v>2023</v>
      </c>
      <c r="M234" s="8" t="s">
        <v>1567</v>
      </c>
      <c r="N234" s="8" t="s">
        <v>41</v>
      </c>
      <c r="O234" s="8" t="s">
        <v>42</v>
      </c>
      <c r="P234" s="6" t="s">
        <v>150</v>
      </c>
      <c r="Q234" s="8" t="s">
        <v>89</v>
      </c>
      <c r="R234" s="10" t="s">
        <v>1568</v>
      </c>
      <c r="S234" s="11" t="s">
        <v>1569</v>
      </c>
      <c r="T234" s="6"/>
      <c r="U234" s="27" t="str">
        <f>HYPERLINK("https://media.infra-m.ru/2039/2039902/cover/2039902.jpg", "Обложка")</f>
        <v>Обложка</v>
      </c>
      <c r="V234" s="27" t="str">
        <f>HYPERLINK("https://znanium.com/catalog/product/2039902", "Ознакомиться")</f>
        <v>Ознакомиться</v>
      </c>
      <c r="W234" s="8" t="s">
        <v>483</v>
      </c>
      <c r="X234" s="6"/>
      <c r="Y234" s="6"/>
      <c r="Z234" s="6"/>
      <c r="AA234" s="6" t="s">
        <v>70</v>
      </c>
    </row>
    <row r="235" spans="1:27" s="4" customFormat="1" ht="51.95" customHeight="1">
      <c r="A235" s="5">
        <v>0</v>
      </c>
      <c r="B235" s="6" t="s">
        <v>1570</v>
      </c>
      <c r="C235" s="7">
        <v>1080</v>
      </c>
      <c r="D235" s="8" t="s">
        <v>1571</v>
      </c>
      <c r="E235" s="8" t="s">
        <v>1572</v>
      </c>
      <c r="F235" s="8" t="s">
        <v>1573</v>
      </c>
      <c r="G235" s="6" t="s">
        <v>37</v>
      </c>
      <c r="H235" s="6" t="s">
        <v>38</v>
      </c>
      <c r="I235" s="8" t="s">
        <v>183</v>
      </c>
      <c r="J235" s="9">
        <v>1</v>
      </c>
      <c r="K235" s="9">
        <v>209</v>
      </c>
      <c r="L235" s="9">
        <v>2024</v>
      </c>
      <c r="M235" s="8" t="s">
        <v>1574</v>
      </c>
      <c r="N235" s="8" t="s">
        <v>41</v>
      </c>
      <c r="O235" s="8" t="s">
        <v>42</v>
      </c>
      <c r="P235" s="6" t="s">
        <v>150</v>
      </c>
      <c r="Q235" s="8" t="s">
        <v>316</v>
      </c>
      <c r="R235" s="10" t="s">
        <v>1575</v>
      </c>
      <c r="S235" s="11" t="s">
        <v>1576</v>
      </c>
      <c r="T235" s="6"/>
      <c r="U235" s="27" t="str">
        <f>HYPERLINK("https://media.infra-m.ru/2107/2107436/cover/2107436.jpg", "Обложка")</f>
        <v>Обложка</v>
      </c>
      <c r="V235" s="27" t="str">
        <f>HYPERLINK("https://znanium.com/catalog/product/2107436", "Ознакомиться")</f>
        <v>Ознакомиться</v>
      </c>
      <c r="W235" s="8" t="s">
        <v>116</v>
      </c>
      <c r="X235" s="6"/>
      <c r="Y235" s="6"/>
      <c r="Z235" s="6"/>
      <c r="AA235" s="6" t="s">
        <v>302</v>
      </c>
    </row>
    <row r="236" spans="1:27" s="4" customFormat="1" ht="51.95" customHeight="1">
      <c r="A236" s="5">
        <v>0</v>
      </c>
      <c r="B236" s="6" t="s">
        <v>1577</v>
      </c>
      <c r="C236" s="13">
        <v>964</v>
      </c>
      <c r="D236" s="8" t="s">
        <v>1578</v>
      </c>
      <c r="E236" s="8" t="s">
        <v>1572</v>
      </c>
      <c r="F236" s="8" t="s">
        <v>1579</v>
      </c>
      <c r="G236" s="6" t="s">
        <v>37</v>
      </c>
      <c r="H236" s="6" t="s">
        <v>87</v>
      </c>
      <c r="I236" s="8" t="s">
        <v>75</v>
      </c>
      <c r="J236" s="9">
        <v>1</v>
      </c>
      <c r="K236" s="9">
        <v>208</v>
      </c>
      <c r="L236" s="9">
        <v>2024</v>
      </c>
      <c r="M236" s="8" t="s">
        <v>1580</v>
      </c>
      <c r="N236" s="8" t="s">
        <v>41</v>
      </c>
      <c r="O236" s="8" t="s">
        <v>42</v>
      </c>
      <c r="P236" s="6" t="s">
        <v>77</v>
      </c>
      <c r="Q236" s="8" t="s">
        <v>78</v>
      </c>
      <c r="R236" s="10" t="s">
        <v>1581</v>
      </c>
      <c r="S236" s="11" t="s">
        <v>1582</v>
      </c>
      <c r="T236" s="6"/>
      <c r="U236" s="27" t="str">
        <f>HYPERLINK("https://media.infra-m.ru/2056/2056797/cover/2056797.jpg", "Обложка")</f>
        <v>Обложка</v>
      </c>
      <c r="V236" s="27" t="str">
        <f>HYPERLINK("https://znanium.com/catalog/product/1228343", "Ознакомиться")</f>
        <v>Ознакомиться</v>
      </c>
      <c r="W236" s="8" t="s">
        <v>278</v>
      </c>
      <c r="X236" s="6"/>
      <c r="Y236" s="6"/>
      <c r="Z236" s="6"/>
      <c r="AA236" s="6" t="s">
        <v>897</v>
      </c>
    </row>
    <row r="237" spans="1:27" s="4" customFormat="1" ht="51.95" customHeight="1">
      <c r="A237" s="5">
        <v>0</v>
      </c>
      <c r="B237" s="6" t="s">
        <v>1583</v>
      </c>
      <c r="C237" s="13">
        <v>950</v>
      </c>
      <c r="D237" s="8" t="s">
        <v>1584</v>
      </c>
      <c r="E237" s="8" t="s">
        <v>1585</v>
      </c>
      <c r="F237" s="8" t="s">
        <v>1586</v>
      </c>
      <c r="G237" s="6" t="s">
        <v>37</v>
      </c>
      <c r="H237" s="6" t="s">
        <v>38</v>
      </c>
      <c r="I237" s="8" t="s">
        <v>173</v>
      </c>
      <c r="J237" s="9">
        <v>1</v>
      </c>
      <c r="K237" s="9">
        <v>210</v>
      </c>
      <c r="L237" s="9">
        <v>2023</v>
      </c>
      <c r="M237" s="8" t="s">
        <v>1587</v>
      </c>
      <c r="N237" s="8" t="s">
        <v>41</v>
      </c>
      <c r="O237" s="8" t="s">
        <v>42</v>
      </c>
      <c r="P237" s="6" t="s">
        <v>77</v>
      </c>
      <c r="Q237" s="8" t="s">
        <v>89</v>
      </c>
      <c r="R237" s="10" t="s">
        <v>1588</v>
      </c>
      <c r="S237" s="11" t="s">
        <v>1589</v>
      </c>
      <c r="T237" s="6"/>
      <c r="U237" s="27" t="str">
        <f>HYPERLINK("https://media.infra-m.ru/1993/1993507/cover/1993507.jpg", "Обложка")</f>
        <v>Обложка</v>
      </c>
      <c r="V237" s="27" t="str">
        <f>HYPERLINK("https://znanium.com/catalog/product/1993507", "Ознакомиться")</f>
        <v>Ознакомиться</v>
      </c>
      <c r="W237" s="8" t="s">
        <v>454</v>
      </c>
      <c r="X237" s="6"/>
      <c r="Y237" s="6"/>
      <c r="Z237" s="6"/>
      <c r="AA237" s="6" t="s">
        <v>117</v>
      </c>
    </row>
    <row r="238" spans="1:27" s="4" customFormat="1" ht="51.95" customHeight="1">
      <c r="A238" s="5">
        <v>0</v>
      </c>
      <c r="B238" s="6" t="s">
        <v>1590</v>
      </c>
      <c r="C238" s="13">
        <v>700</v>
      </c>
      <c r="D238" s="8" t="s">
        <v>1591</v>
      </c>
      <c r="E238" s="8" t="s">
        <v>1592</v>
      </c>
      <c r="F238" s="8" t="s">
        <v>1593</v>
      </c>
      <c r="G238" s="6" t="s">
        <v>53</v>
      </c>
      <c r="H238" s="6" t="s">
        <v>608</v>
      </c>
      <c r="I238" s="8" t="s">
        <v>173</v>
      </c>
      <c r="J238" s="9">
        <v>1</v>
      </c>
      <c r="K238" s="9">
        <v>194</v>
      </c>
      <c r="L238" s="9">
        <v>2020</v>
      </c>
      <c r="M238" s="8" t="s">
        <v>1594</v>
      </c>
      <c r="N238" s="8" t="s">
        <v>41</v>
      </c>
      <c r="O238" s="8" t="s">
        <v>42</v>
      </c>
      <c r="P238" s="6" t="s">
        <v>185</v>
      </c>
      <c r="Q238" s="8" t="s">
        <v>89</v>
      </c>
      <c r="R238" s="10" t="s">
        <v>619</v>
      </c>
      <c r="S238" s="11"/>
      <c r="T238" s="6"/>
      <c r="U238" s="27" t="str">
        <f>HYPERLINK("https://media.infra-m.ru/1181/1181039/cover/1181039.jpg", "Обложка")</f>
        <v>Обложка</v>
      </c>
      <c r="V238" s="27" t="str">
        <f>HYPERLINK("https://znanium.com/catalog/product/1181039", "Ознакомиться")</f>
        <v>Ознакомиться</v>
      </c>
      <c r="W238" s="8" t="s">
        <v>1595</v>
      </c>
      <c r="X238" s="6"/>
      <c r="Y238" s="6"/>
      <c r="Z238" s="6"/>
      <c r="AA238" s="6" t="s">
        <v>585</v>
      </c>
    </row>
    <row r="239" spans="1:27" s="4" customFormat="1" ht="51.95" customHeight="1">
      <c r="A239" s="5">
        <v>0</v>
      </c>
      <c r="B239" s="6" t="s">
        <v>1596</v>
      </c>
      <c r="C239" s="7">
        <v>1030</v>
      </c>
      <c r="D239" s="8" t="s">
        <v>1597</v>
      </c>
      <c r="E239" s="8" t="s">
        <v>1598</v>
      </c>
      <c r="F239" s="8" t="s">
        <v>1593</v>
      </c>
      <c r="G239" s="6" t="s">
        <v>53</v>
      </c>
      <c r="H239" s="6" t="s">
        <v>608</v>
      </c>
      <c r="I239" s="8" t="s">
        <v>183</v>
      </c>
      <c r="J239" s="9">
        <v>1</v>
      </c>
      <c r="K239" s="9">
        <v>228</v>
      </c>
      <c r="L239" s="9">
        <v>2021</v>
      </c>
      <c r="M239" s="8" t="s">
        <v>1599</v>
      </c>
      <c r="N239" s="8" t="s">
        <v>41</v>
      </c>
      <c r="O239" s="8" t="s">
        <v>42</v>
      </c>
      <c r="P239" s="6" t="s">
        <v>185</v>
      </c>
      <c r="Q239" s="8" t="s">
        <v>89</v>
      </c>
      <c r="R239" s="10" t="s">
        <v>619</v>
      </c>
      <c r="S239" s="11"/>
      <c r="T239" s="6"/>
      <c r="U239" s="27" t="str">
        <f>HYPERLINK("https://media.infra-m.ru/1946/1946440/cover/1946440.jpg", "Обложка")</f>
        <v>Обложка</v>
      </c>
      <c r="V239" s="27" t="str">
        <f>HYPERLINK("https://znanium.com/catalog/product/1181039", "Ознакомиться")</f>
        <v>Ознакомиться</v>
      </c>
      <c r="W239" s="8" t="s">
        <v>1595</v>
      </c>
      <c r="X239" s="6"/>
      <c r="Y239" s="6"/>
      <c r="Z239" s="6"/>
      <c r="AA239" s="6" t="s">
        <v>1600</v>
      </c>
    </row>
    <row r="240" spans="1:27" s="4" customFormat="1" ht="51.95" customHeight="1">
      <c r="A240" s="5">
        <v>0</v>
      </c>
      <c r="B240" s="6" t="s">
        <v>1601</v>
      </c>
      <c r="C240" s="13">
        <v>960</v>
      </c>
      <c r="D240" s="8" t="s">
        <v>1602</v>
      </c>
      <c r="E240" s="8" t="s">
        <v>1603</v>
      </c>
      <c r="F240" s="8" t="s">
        <v>1604</v>
      </c>
      <c r="G240" s="6" t="s">
        <v>37</v>
      </c>
      <c r="H240" s="6" t="s">
        <v>38</v>
      </c>
      <c r="I240" s="8" t="s">
        <v>122</v>
      </c>
      <c r="J240" s="9">
        <v>1</v>
      </c>
      <c r="K240" s="9">
        <v>205</v>
      </c>
      <c r="L240" s="9">
        <v>2023</v>
      </c>
      <c r="M240" s="8" t="s">
        <v>1605</v>
      </c>
      <c r="N240" s="8" t="s">
        <v>56</v>
      </c>
      <c r="O240" s="8" t="s">
        <v>57</v>
      </c>
      <c r="P240" s="6" t="s">
        <v>77</v>
      </c>
      <c r="Q240" s="8" t="s">
        <v>124</v>
      </c>
      <c r="R240" s="10" t="s">
        <v>1606</v>
      </c>
      <c r="S240" s="11" t="s">
        <v>1607</v>
      </c>
      <c r="T240" s="6"/>
      <c r="U240" s="27" t="str">
        <f>HYPERLINK("https://media.infra-m.ru/1985/1985783/cover/1985783.jpg", "Обложка")</f>
        <v>Обложка</v>
      </c>
      <c r="V240" s="27" t="str">
        <f>HYPERLINK("https://znanium.com/catalog/product/1985783", "Ознакомиться")</f>
        <v>Ознакомиться</v>
      </c>
      <c r="W240" s="8" t="s">
        <v>1608</v>
      </c>
      <c r="X240" s="6"/>
      <c r="Y240" s="6"/>
      <c r="Z240" s="6"/>
      <c r="AA240" s="6" t="s">
        <v>812</v>
      </c>
    </row>
    <row r="241" spans="1:27" s="4" customFormat="1" ht="42" customHeight="1">
      <c r="A241" s="5">
        <v>0</v>
      </c>
      <c r="B241" s="6" t="s">
        <v>1609</v>
      </c>
      <c r="C241" s="7">
        <v>1294.9000000000001</v>
      </c>
      <c r="D241" s="8" t="s">
        <v>1610</v>
      </c>
      <c r="E241" s="8" t="s">
        <v>1611</v>
      </c>
      <c r="F241" s="8" t="s">
        <v>1612</v>
      </c>
      <c r="G241" s="6" t="s">
        <v>165</v>
      </c>
      <c r="H241" s="6" t="s">
        <v>248</v>
      </c>
      <c r="I241" s="8"/>
      <c r="J241" s="9">
        <v>1</v>
      </c>
      <c r="K241" s="9">
        <v>288</v>
      </c>
      <c r="L241" s="9">
        <v>2023</v>
      </c>
      <c r="M241" s="8" t="s">
        <v>1613</v>
      </c>
      <c r="N241" s="8" t="s">
        <v>41</v>
      </c>
      <c r="O241" s="8" t="s">
        <v>42</v>
      </c>
      <c r="P241" s="6" t="s">
        <v>77</v>
      </c>
      <c r="Q241" s="8" t="s">
        <v>89</v>
      </c>
      <c r="R241" s="10" t="s">
        <v>824</v>
      </c>
      <c r="S241" s="11"/>
      <c r="T241" s="6"/>
      <c r="U241" s="27" t="str">
        <f>HYPERLINK("https://media.infra-m.ru/1911/1911779/cover/1911779.jpg", "Обложка")</f>
        <v>Обложка</v>
      </c>
      <c r="V241" s="27" t="str">
        <f>HYPERLINK("https://znanium.com/catalog/product/925814", "Ознакомиться")</f>
        <v>Ознакомиться</v>
      </c>
      <c r="W241" s="8" t="s">
        <v>1614</v>
      </c>
      <c r="X241" s="6"/>
      <c r="Y241" s="6"/>
      <c r="Z241" s="6"/>
      <c r="AA241" s="6" t="s">
        <v>208</v>
      </c>
    </row>
    <row r="242" spans="1:27" s="4" customFormat="1" ht="51.95" customHeight="1">
      <c r="A242" s="5">
        <v>0</v>
      </c>
      <c r="B242" s="6" t="s">
        <v>1615</v>
      </c>
      <c r="C242" s="7">
        <v>1410</v>
      </c>
      <c r="D242" s="8" t="s">
        <v>1616</v>
      </c>
      <c r="E242" s="8" t="s">
        <v>1617</v>
      </c>
      <c r="F242" s="8" t="s">
        <v>338</v>
      </c>
      <c r="G242" s="6" t="s">
        <v>37</v>
      </c>
      <c r="H242" s="6" t="s">
        <v>248</v>
      </c>
      <c r="I242" s="8"/>
      <c r="J242" s="9">
        <v>1</v>
      </c>
      <c r="K242" s="9">
        <v>414</v>
      </c>
      <c r="L242" s="9">
        <v>2020</v>
      </c>
      <c r="M242" s="8" t="s">
        <v>1618</v>
      </c>
      <c r="N242" s="8" t="s">
        <v>56</v>
      </c>
      <c r="O242" s="8" t="s">
        <v>57</v>
      </c>
      <c r="P242" s="6" t="s">
        <v>77</v>
      </c>
      <c r="Q242" s="8" t="s">
        <v>89</v>
      </c>
      <c r="R242" s="10" t="s">
        <v>1619</v>
      </c>
      <c r="S242" s="11"/>
      <c r="T242" s="6"/>
      <c r="U242" s="27" t="str">
        <f>HYPERLINK("https://media.infra-m.ru/1069/1069193/cover/1069193.jpg", "Обложка")</f>
        <v>Обложка</v>
      </c>
      <c r="V242" s="27" t="str">
        <f>HYPERLINK("https://znanium.com/catalog/product/2118082", "Ознакомиться")</f>
        <v>Ознакомиться</v>
      </c>
      <c r="W242" s="8" t="s">
        <v>341</v>
      </c>
      <c r="X242" s="6"/>
      <c r="Y242" s="6"/>
      <c r="Z242" s="6"/>
      <c r="AA242" s="6" t="s">
        <v>101</v>
      </c>
    </row>
    <row r="243" spans="1:27" s="4" customFormat="1" ht="51.95" customHeight="1">
      <c r="A243" s="5">
        <v>0</v>
      </c>
      <c r="B243" s="6" t="s">
        <v>1620</v>
      </c>
      <c r="C243" s="13">
        <v>784.9</v>
      </c>
      <c r="D243" s="8" t="s">
        <v>1621</v>
      </c>
      <c r="E243" s="8" t="s">
        <v>1622</v>
      </c>
      <c r="F243" s="8" t="s">
        <v>1623</v>
      </c>
      <c r="G243" s="6" t="s">
        <v>165</v>
      </c>
      <c r="H243" s="6" t="s">
        <v>248</v>
      </c>
      <c r="I243" s="8"/>
      <c r="J243" s="9">
        <v>1</v>
      </c>
      <c r="K243" s="9">
        <v>268</v>
      </c>
      <c r="L243" s="9">
        <v>2017</v>
      </c>
      <c r="M243" s="8" t="s">
        <v>1624</v>
      </c>
      <c r="N243" s="8" t="s">
        <v>56</v>
      </c>
      <c r="O243" s="8" t="s">
        <v>57</v>
      </c>
      <c r="P243" s="6" t="s">
        <v>77</v>
      </c>
      <c r="Q243" s="8" t="s">
        <v>89</v>
      </c>
      <c r="R243" s="10" t="s">
        <v>1341</v>
      </c>
      <c r="S243" s="11" t="s">
        <v>1625</v>
      </c>
      <c r="T243" s="6"/>
      <c r="U243" s="27" t="str">
        <f>HYPERLINK("https://media.infra-m.ru/0923/0923340/cover/923340.jpg", "Обложка")</f>
        <v>Обложка</v>
      </c>
      <c r="V243" s="27" t="str">
        <f>HYPERLINK("https://znanium.com/catalog/product/1913860", "Ознакомиться")</f>
        <v>Ознакомиться</v>
      </c>
      <c r="W243" s="8" t="s">
        <v>804</v>
      </c>
      <c r="X243" s="6"/>
      <c r="Y243" s="6"/>
      <c r="Z243" s="6"/>
      <c r="AA243" s="6" t="s">
        <v>250</v>
      </c>
    </row>
    <row r="244" spans="1:27" s="4" customFormat="1" ht="51.95" customHeight="1">
      <c r="A244" s="5">
        <v>0</v>
      </c>
      <c r="B244" s="6" t="s">
        <v>1626</v>
      </c>
      <c r="C244" s="7">
        <v>1220</v>
      </c>
      <c r="D244" s="8" t="s">
        <v>1627</v>
      </c>
      <c r="E244" s="8" t="s">
        <v>1628</v>
      </c>
      <c r="F244" s="8" t="s">
        <v>1623</v>
      </c>
      <c r="G244" s="6" t="s">
        <v>37</v>
      </c>
      <c r="H244" s="6" t="s">
        <v>248</v>
      </c>
      <c r="I244" s="8"/>
      <c r="J244" s="9">
        <v>1</v>
      </c>
      <c r="K244" s="9">
        <v>272</v>
      </c>
      <c r="L244" s="9">
        <v>2023</v>
      </c>
      <c r="M244" s="8" t="s">
        <v>1629</v>
      </c>
      <c r="N244" s="8" t="s">
        <v>56</v>
      </c>
      <c r="O244" s="8" t="s">
        <v>57</v>
      </c>
      <c r="P244" s="6" t="s">
        <v>77</v>
      </c>
      <c r="Q244" s="8" t="s">
        <v>89</v>
      </c>
      <c r="R244" s="10" t="s">
        <v>1341</v>
      </c>
      <c r="S244" s="11"/>
      <c r="T244" s="6"/>
      <c r="U244" s="27" t="str">
        <f>HYPERLINK("https://media.infra-m.ru/1913/1913860/cover/1913860.jpg", "Обложка")</f>
        <v>Обложка</v>
      </c>
      <c r="V244" s="27" t="str">
        <f>HYPERLINK("https://znanium.com/catalog/product/1913860", "Ознакомиться")</f>
        <v>Ознакомиться</v>
      </c>
      <c r="W244" s="8" t="s">
        <v>804</v>
      </c>
      <c r="X244" s="6"/>
      <c r="Y244" s="6"/>
      <c r="Z244" s="6"/>
      <c r="AA244" s="6" t="s">
        <v>372</v>
      </c>
    </row>
    <row r="245" spans="1:27" s="4" customFormat="1" ht="51.95" customHeight="1">
      <c r="A245" s="5">
        <v>0</v>
      </c>
      <c r="B245" s="6" t="s">
        <v>1630</v>
      </c>
      <c r="C245" s="7">
        <v>1960</v>
      </c>
      <c r="D245" s="8" t="s">
        <v>1631</v>
      </c>
      <c r="E245" s="8" t="s">
        <v>1632</v>
      </c>
      <c r="F245" s="8" t="s">
        <v>1633</v>
      </c>
      <c r="G245" s="6" t="s">
        <v>165</v>
      </c>
      <c r="H245" s="6" t="s">
        <v>38</v>
      </c>
      <c r="I245" s="8" t="s">
        <v>122</v>
      </c>
      <c r="J245" s="9">
        <v>1</v>
      </c>
      <c r="K245" s="9">
        <v>424</v>
      </c>
      <c r="L245" s="9">
        <v>2024</v>
      </c>
      <c r="M245" s="8" t="s">
        <v>1634</v>
      </c>
      <c r="N245" s="8" t="s">
        <v>56</v>
      </c>
      <c r="O245" s="8" t="s">
        <v>57</v>
      </c>
      <c r="P245" s="6" t="s">
        <v>77</v>
      </c>
      <c r="Q245" s="8" t="s">
        <v>124</v>
      </c>
      <c r="R245" s="10" t="s">
        <v>1619</v>
      </c>
      <c r="S245" s="11" t="s">
        <v>1635</v>
      </c>
      <c r="T245" s="6"/>
      <c r="U245" s="27" t="str">
        <f>HYPERLINK("https://media.infra-m.ru/2118/2118082/cover/2118082.jpg", "Обложка")</f>
        <v>Обложка</v>
      </c>
      <c r="V245" s="27" t="str">
        <f>HYPERLINK("https://znanium.com/catalog/product/2118082", "Ознакомиться")</f>
        <v>Ознакомиться</v>
      </c>
      <c r="W245" s="8" t="s">
        <v>341</v>
      </c>
      <c r="X245" s="6"/>
      <c r="Y245" s="6"/>
      <c r="Z245" s="6"/>
      <c r="AA245" s="6" t="s">
        <v>317</v>
      </c>
    </row>
    <row r="246" spans="1:27" s="4" customFormat="1" ht="51.95" customHeight="1">
      <c r="A246" s="5">
        <v>0</v>
      </c>
      <c r="B246" s="6" t="s">
        <v>1636</v>
      </c>
      <c r="C246" s="13">
        <v>980</v>
      </c>
      <c r="D246" s="8" t="s">
        <v>1637</v>
      </c>
      <c r="E246" s="8" t="s">
        <v>1638</v>
      </c>
      <c r="F246" s="8" t="s">
        <v>1639</v>
      </c>
      <c r="G246" s="6" t="s">
        <v>37</v>
      </c>
      <c r="H246" s="6" t="s">
        <v>38</v>
      </c>
      <c r="I246" s="8" t="s">
        <v>173</v>
      </c>
      <c r="J246" s="9">
        <v>1</v>
      </c>
      <c r="K246" s="9">
        <v>217</v>
      </c>
      <c r="L246" s="9">
        <v>2023</v>
      </c>
      <c r="M246" s="8" t="s">
        <v>1640</v>
      </c>
      <c r="N246" s="8" t="s">
        <v>56</v>
      </c>
      <c r="O246" s="8" t="s">
        <v>57</v>
      </c>
      <c r="P246" s="6" t="s">
        <v>77</v>
      </c>
      <c r="Q246" s="8" t="s">
        <v>89</v>
      </c>
      <c r="R246" s="10" t="s">
        <v>1641</v>
      </c>
      <c r="S246" s="11" t="s">
        <v>1642</v>
      </c>
      <c r="T246" s="6"/>
      <c r="U246" s="27" t="str">
        <f>HYPERLINK("https://media.infra-m.ru/1981/1981639/cover/1981639.jpg", "Обложка")</f>
        <v>Обложка</v>
      </c>
      <c r="V246" s="27" t="str">
        <f>HYPERLINK("https://znanium.com/catalog/product/1981639", "Ознакомиться")</f>
        <v>Ознакомиться</v>
      </c>
      <c r="W246" s="8" t="s">
        <v>1643</v>
      </c>
      <c r="X246" s="6"/>
      <c r="Y246" s="6"/>
      <c r="Z246" s="6"/>
      <c r="AA246" s="6" t="s">
        <v>128</v>
      </c>
    </row>
    <row r="247" spans="1:27" s="4" customFormat="1" ht="51.95" customHeight="1">
      <c r="A247" s="5">
        <v>0</v>
      </c>
      <c r="B247" s="6" t="s">
        <v>1644</v>
      </c>
      <c r="C247" s="13">
        <v>914</v>
      </c>
      <c r="D247" s="8" t="s">
        <v>1645</v>
      </c>
      <c r="E247" s="8" t="s">
        <v>1646</v>
      </c>
      <c r="F247" s="8" t="s">
        <v>1647</v>
      </c>
      <c r="G247" s="6" t="s">
        <v>165</v>
      </c>
      <c r="H247" s="6" t="s">
        <v>878</v>
      </c>
      <c r="I247" s="8" t="s">
        <v>183</v>
      </c>
      <c r="J247" s="9">
        <v>1</v>
      </c>
      <c r="K247" s="9">
        <v>192</v>
      </c>
      <c r="L247" s="9">
        <v>2023</v>
      </c>
      <c r="M247" s="8" t="s">
        <v>1648</v>
      </c>
      <c r="N247" s="8" t="s">
        <v>56</v>
      </c>
      <c r="O247" s="8" t="s">
        <v>57</v>
      </c>
      <c r="P247" s="6" t="s">
        <v>77</v>
      </c>
      <c r="Q247" s="8" t="s">
        <v>89</v>
      </c>
      <c r="R247" s="10" t="s">
        <v>1649</v>
      </c>
      <c r="S247" s="11" t="s">
        <v>1650</v>
      </c>
      <c r="T247" s="6"/>
      <c r="U247" s="27" t="str">
        <f>HYPERLINK("https://media.infra-m.ru/2061/2061198/cover/2061198.jpg", "Обложка")</f>
        <v>Обложка</v>
      </c>
      <c r="V247" s="27" t="str">
        <f>HYPERLINK("https://znanium.com/catalog/product/1870556", "Ознакомиться")</f>
        <v>Ознакомиться</v>
      </c>
      <c r="W247" s="8" t="s">
        <v>874</v>
      </c>
      <c r="X247" s="6"/>
      <c r="Y247" s="6"/>
      <c r="Z247" s="6"/>
      <c r="AA247" s="6" t="s">
        <v>881</v>
      </c>
    </row>
    <row r="248" spans="1:27" s="4" customFormat="1" ht="51.95" customHeight="1">
      <c r="A248" s="5">
        <v>0</v>
      </c>
      <c r="B248" s="6" t="s">
        <v>1651</v>
      </c>
      <c r="C248" s="7">
        <v>1800</v>
      </c>
      <c r="D248" s="8" t="s">
        <v>1652</v>
      </c>
      <c r="E248" s="8" t="s">
        <v>1653</v>
      </c>
      <c r="F248" s="8" t="s">
        <v>1654</v>
      </c>
      <c r="G248" s="6" t="s">
        <v>37</v>
      </c>
      <c r="H248" s="6" t="s">
        <v>38</v>
      </c>
      <c r="I248" s="8" t="s">
        <v>173</v>
      </c>
      <c r="J248" s="9">
        <v>1</v>
      </c>
      <c r="K248" s="9">
        <v>396</v>
      </c>
      <c r="L248" s="9">
        <v>2023</v>
      </c>
      <c r="M248" s="8" t="s">
        <v>1655</v>
      </c>
      <c r="N248" s="8" t="s">
        <v>41</v>
      </c>
      <c r="O248" s="8" t="s">
        <v>42</v>
      </c>
      <c r="P248" s="6" t="s">
        <v>150</v>
      </c>
      <c r="Q248" s="8" t="s">
        <v>89</v>
      </c>
      <c r="R248" s="10" t="s">
        <v>1136</v>
      </c>
      <c r="S248" s="11" t="s">
        <v>1656</v>
      </c>
      <c r="T248" s="6"/>
      <c r="U248" s="27" t="str">
        <f>HYPERLINK("https://media.infra-m.ru/1891/1891843/cover/1891843.jpg", "Обложка")</f>
        <v>Обложка</v>
      </c>
      <c r="V248" s="27" t="str">
        <f>HYPERLINK("https://znanium.com/catalog/product/1891843", "Ознакомиться")</f>
        <v>Ознакомиться</v>
      </c>
      <c r="W248" s="8" t="s">
        <v>1657</v>
      </c>
      <c r="X248" s="6"/>
      <c r="Y248" s="6"/>
      <c r="Z248" s="6"/>
      <c r="AA248" s="6" t="s">
        <v>70</v>
      </c>
    </row>
    <row r="249" spans="1:27" s="4" customFormat="1" ht="51.95" customHeight="1">
      <c r="A249" s="5">
        <v>0</v>
      </c>
      <c r="B249" s="6" t="s">
        <v>1658</v>
      </c>
      <c r="C249" s="7">
        <v>1824</v>
      </c>
      <c r="D249" s="8" t="s">
        <v>1659</v>
      </c>
      <c r="E249" s="8" t="s">
        <v>1653</v>
      </c>
      <c r="F249" s="8" t="s">
        <v>1654</v>
      </c>
      <c r="G249" s="6" t="s">
        <v>37</v>
      </c>
      <c r="H249" s="6" t="s">
        <v>38</v>
      </c>
      <c r="I249" s="8" t="s">
        <v>75</v>
      </c>
      <c r="J249" s="9">
        <v>1</v>
      </c>
      <c r="K249" s="9">
        <v>396</v>
      </c>
      <c r="L249" s="9">
        <v>2023</v>
      </c>
      <c r="M249" s="8" t="s">
        <v>1660</v>
      </c>
      <c r="N249" s="8" t="s">
        <v>41</v>
      </c>
      <c r="O249" s="8" t="s">
        <v>42</v>
      </c>
      <c r="P249" s="6" t="s">
        <v>150</v>
      </c>
      <c r="Q249" s="8" t="s">
        <v>78</v>
      </c>
      <c r="R249" s="10" t="s">
        <v>1661</v>
      </c>
      <c r="S249" s="11" t="s">
        <v>1662</v>
      </c>
      <c r="T249" s="6"/>
      <c r="U249" s="27" t="str">
        <f>HYPERLINK("https://media.infra-m.ru/2062/2062471/cover/2062471.jpg", "Обложка")</f>
        <v>Обложка</v>
      </c>
      <c r="V249" s="27" t="str">
        <f>HYPERLINK("https://znanium.com/catalog/product/2051446", "Ознакомиться")</f>
        <v>Ознакомиться</v>
      </c>
      <c r="W249" s="8" t="s">
        <v>1657</v>
      </c>
      <c r="X249" s="6"/>
      <c r="Y249" s="6"/>
      <c r="Z249" s="6" t="s">
        <v>82</v>
      </c>
      <c r="AA249" s="6" t="s">
        <v>70</v>
      </c>
    </row>
    <row r="250" spans="1:27" s="4" customFormat="1" ht="42" customHeight="1">
      <c r="A250" s="5">
        <v>0</v>
      </c>
      <c r="B250" s="6" t="s">
        <v>1663</v>
      </c>
      <c r="C250" s="13">
        <v>990</v>
      </c>
      <c r="D250" s="8" t="s">
        <v>1664</v>
      </c>
      <c r="E250" s="8" t="s">
        <v>1665</v>
      </c>
      <c r="F250" s="8" t="s">
        <v>1666</v>
      </c>
      <c r="G250" s="6" t="s">
        <v>53</v>
      </c>
      <c r="H250" s="6" t="s">
        <v>38</v>
      </c>
      <c r="I250" s="8" t="s">
        <v>54</v>
      </c>
      <c r="J250" s="9">
        <v>1</v>
      </c>
      <c r="K250" s="9">
        <v>214</v>
      </c>
      <c r="L250" s="9">
        <v>2023</v>
      </c>
      <c r="M250" s="8" t="s">
        <v>1667</v>
      </c>
      <c r="N250" s="8" t="s">
        <v>41</v>
      </c>
      <c r="O250" s="8" t="s">
        <v>42</v>
      </c>
      <c r="P250" s="6" t="s">
        <v>58</v>
      </c>
      <c r="Q250" s="8" t="s">
        <v>44</v>
      </c>
      <c r="R250" s="10" t="s">
        <v>1668</v>
      </c>
      <c r="S250" s="11"/>
      <c r="T250" s="6"/>
      <c r="U250" s="27" t="str">
        <f>HYPERLINK("https://media.infra-m.ru/1984/1984074/cover/1984074.jpg", "Обложка")</f>
        <v>Обложка</v>
      </c>
      <c r="V250" s="27" t="str">
        <f>HYPERLINK("https://znanium.com/catalog/product/1984074", "Ознакомиться")</f>
        <v>Ознакомиться</v>
      </c>
      <c r="W250" s="8" t="s">
        <v>1669</v>
      </c>
      <c r="X250" s="6" t="s">
        <v>1670</v>
      </c>
      <c r="Y250" s="6"/>
      <c r="Z250" s="6"/>
      <c r="AA250" s="6" t="s">
        <v>61</v>
      </c>
    </row>
    <row r="251" spans="1:27" s="4" customFormat="1" ht="51.95" customHeight="1">
      <c r="A251" s="5">
        <v>0</v>
      </c>
      <c r="B251" s="6" t="s">
        <v>1671</v>
      </c>
      <c r="C251" s="13">
        <v>824</v>
      </c>
      <c r="D251" s="8" t="s">
        <v>1672</v>
      </c>
      <c r="E251" s="8" t="s">
        <v>1673</v>
      </c>
      <c r="F251" s="8" t="s">
        <v>1674</v>
      </c>
      <c r="G251" s="6" t="s">
        <v>37</v>
      </c>
      <c r="H251" s="6" t="s">
        <v>38</v>
      </c>
      <c r="I251" s="8" t="s">
        <v>75</v>
      </c>
      <c r="J251" s="9">
        <v>1</v>
      </c>
      <c r="K251" s="9">
        <v>179</v>
      </c>
      <c r="L251" s="9">
        <v>2024</v>
      </c>
      <c r="M251" s="8" t="s">
        <v>1675</v>
      </c>
      <c r="N251" s="8" t="s">
        <v>41</v>
      </c>
      <c r="O251" s="8" t="s">
        <v>42</v>
      </c>
      <c r="P251" s="6" t="s">
        <v>77</v>
      </c>
      <c r="Q251" s="8" t="s">
        <v>78</v>
      </c>
      <c r="R251" s="10" t="s">
        <v>1676</v>
      </c>
      <c r="S251" s="11" t="s">
        <v>1677</v>
      </c>
      <c r="T251" s="6" t="s">
        <v>46</v>
      </c>
      <c r="U251" s="27" t="str">
        <f>HYPERLINK("https://media.infra-m.ru/2086/2086833/cover/2086833.jpg", "Обложка")</f>
        <v>Обложка</v>
      </c>
      <c r="V251" s="27" t="str">
        <f>HYPERLINK("https://znanium.com/catalog/product/1039173", "Ознакомиться")</f>
        <v>Ознакомиться</v>
      </c>
      <c r="W251" s="8" t="s">
        <v>422</v>
      </c>
      <c r="X251" s="6"/>
      <c r="Y251" s="6"/>
      <c r="Z251" s="6"/>
      <c r="AA251" s="6" t="s">
        <v>70</v>
      </c>
    </row>
    <row r="252" spans="1:27" s="4" customFormat="1" ht="42" customHeight="1">
      <c r="A252" s="5">
        <v>0</v>
      </c>
      <c r="B252" s="6" t="s">
        <v>1678</v>
      </c>
      <c r="C252" s="13">
        <v>800</v>
      </c>
      <c r="D252" s="8" t="s">
        <v>1679</v>
      </c>
      <c r="E252" s="8" t="s">
        <v>1680</v>
      </c>
      <c r="F252" s="8" t="s">
        <v>1681</v>
      </c>
      <c r="G252" s="6" t="s">
        <v>53</v>
      </c>
      <c r="H252" s="6" t="s">
        <v>38</v>
      </c>
      <c r="I252" s="8" t="s">
        <v>54</v>
      </c>
      <c r="J252" s="9">
        <v>1</v>
      </c>
      <c r="K252" s="9">
        <v>204</v>
      </c>
      <c r="L252" s="9">
        <v>2022</v>
      </c>
      <c r="M252" s="8" t="s">
        <v>1682</v>
      </c>
      <c r="N252" s="8" t="s">
        <v>41</v>
      </c>
      <c r="O252" s="8" t="s">
        <v>42</v>
      </c>
      <c r="P252" s="6" t="s">
        <v>58</v>
      </c>
      <c r="Q252" s="8" t="s">
        <v>44</v>
      </c>
      <c r="R252" s="10" t="s">
        <v>68</v>
      </c>
      <c r="S252" s="11"/>
      <c r="T252" s="6"/>
      <c r="U252" s="27" t="str">
        <f>HYPERLINK("https://media.infra-m.ru/1853/1853838/cover/1853838.jpg", "Обложка")</f>
        <v>Обложка</v>
      </c>
      <c r="V252" s="27" t="str">
        <f>HYPERLINK("https://znanium.com/catalog/product/1853838", "Ознакомиться")</f>
        <v>Ознакомиться</v>
      </c>
      <c r="W252" s="8" t="s">
        <v>278</v>
      </c>
      <c r="X252" s="6"/>
      <c r="Y252" s="6"/>
      <c r="Z252" s="6"/>
      <c r="AA252" s="6" t="s">
        <v>622</v>
      </c>
    </row>
    <row r="253" spans="1:27" s="4" customFormat="1" ht="42" customHeight="1">
      <c r="A253" s="5">
        <v>0</v>
      </c>
      <c r="B253" s="6" t="s">
        <v>1683</v>
      </c>
      <c r="C253" s="13">
        <v>804</v>
      </c>
      <c r="D253" s="8" t="s">
        <v>1684</v>
      </c>
      <c r="E253" s="8" t="s">
        <v>1685</v>
      </c>
      <c r="F253" s="8" t="s">
        <v>1686</v>
      </c>
      <c r="G253" s="6" t="s">
        <v>53</v>
      </c>
      <c r="H253" s="6" t="s">
        <v>87</v>
      </c>
      <c r="I253" s="8" t="s">
        <v>183</v>
      </c>
      <c r="J253" s="9">
        <v>1</v>
      </c>
      <c r="K253" s="9">
        <v>176</v>
      </c>
      <c r="L253" s="9">
        <v>2024</v>
      </c>
      <c r="M253" s="8" t="s">
        <v>1687</v>
      </c>
      <c r="N253" s="8" t="s">
        <v>41</v>
      </c>
      <c r="O253" s="8" t="s">
        <v>42</v>
      </c>
      <c r="P253" s="6" t="s">
        <v>77</v>
      </c>
      <c r="Q253" s="8" t="s">
        <v>89</v>
      </c>
      <c r="R253" s="10" t="s">
        <v>414</v>
      </c>
      <c r="S253" s="11"/>
      <c r="T253" s="6"/>
      <c r="U253" s="27" t="str">
        <f>HYPERLINK("https://media.infra-m.ru/2104/2104119/cover/2104119.jpg", "Обложка")</f>
        <v>Обложка</v>
      </c>
      <c r="V253" s="27" t="str">
        <f>HYPERLINK("https://znanium.com/catalog/product/925864", "Ознакомиться")</f>
        <v>Ознакомиться</v>
      </c>
      <c r="W253" s="8" t="s">
        <v>444</v>
      </c>
      <c r="X253" s="6"/>
      <c r="Y253" s="6"/>
      <c r="Z253" s="6"/>
      <c r="AA253" s="6" t="s">
        <v>109</v>
      </c>
    </row>
    <row r="254" spans="1:27" s="4" customFormat="1" ht="42" customHeight="1">
      <c r="A254" s="5">
        <v>0</v>
      </c>
      <c r="B254" s="6" t="s">
        <v>1688</v>
      </c>
      <c r="C254" s="13">
        <v>590</v>
      </c>
      <c r="D254" s="8" t="s">
        <v>1689</v>
      </c>
      <c r="E254" s="8" t="s">
        <v>1690</v>
      </c>
      <c r="F254" s="8" t="s">
        <v>1691</v>
      </c>
      <c r="G254" s="6" t="s">
        <v>53</v>
      </c>
      <c r="H254" s="6" t="s">
        <v>38</v>
      </c>
      <c r="I254" s="8" t="s">
        <v>54</v>
      </c>
      <c r="J254" s="9">
        <v>1</v>
      </c>
      <c r="K254" s="9">
        <v>128</v>
      </c>
      <c r="L254" s="9">
        <v>2024</v>
      </c>
      <c r="M254" s="8" t="s">
        <v>1692</v>
      </c>
      <c r="N254" s="8" t="s">
        <v>41</v>
      </c>
      <c r="O254" s="8" t="s">
        <v>42</v>
      </c>
      <c r="P254" s="6" t="s">
        <v>58</v>
      </c>
      <c r="Q254" s="8" t="s">
        <v>44</v>
      </c>
      <c r="R254" s="10" t="s">
        <v>1253</v>
      </c>
      <c r="S254" s="11"/>
      <c r="T254" s="6"/>
      <c r="U254" s="27" t="str">
        <f>HYPERLINK("https://media.infra-m.ru/2086/2086852/cover/2086852.jpg", "Обложка")</f>
        <v>Обложка</v>
      </c>
      <c r="V254" s="27" t="str">
        <f>HYPERLINK("https://znanium.com/catalog/product/2086852", "Ознакомиться")</f>
        <v>Ознакомиться</v>
      </c>
      <c r="W254" s="8" t="s">
        <v>1693</v>
      </c>
      <c r="X254" s="6"/>
      <c r="Y254" s="6"/>
      <c r="Z254" s="6"/>
      <c r="AA254" s="6" t="s">
        <v>48</v>
      </c>
    </row>
    <row r="255" spans="1:27" s="4" customFormat="1" ht="44.1" customHeight="1">
      <c r="A255" s="5">
        <v>0</v>
      </c>
      <c r="B255" s="6" t="s">
        <v>1694</v>
      </c>
      <c r="C255" s="13">
        <v>840</v>
      </c>
      <c r="D255" s="8" t="s">
        <v>1695</v>
      </c>
      <c r="E255" s="8" t="s">
        <v>1696</v>
      </c>
      <c r="F255" s="8" t="s">
        <v>1697</v>
      </c>
      <c r="G255" s="6" t="s">
        <v>53</v>
      </c>
      <c r="H255" s="6" t="s">
        <v>38</v>
      </c>
      <c r="I255" s="8" t="s">
        <v>54</v>
      </c>
      <c r="J255" s="9">
        <v>1</v>
      </c>
      <c r="K255" s="9">
        <v>215</v>
      </c>
      <c r="L255" s="9">
        <v>2022</v>
      </c>
      <c r="M255" s="8" t="s">
        <v>1698</v>
      </c>
      <c r="N255" s="8" t="s">
        <v>41</v>
      </c>
      <c r="O255" s="8" t="s">
        <v>42</v>
      </c>
      <c r="P255" s="6" t="s">
        <v>58</v>
      </c>
      <c r="Q255" s="8" t="s">
        <v>44</v>
      </c>
      <c r="R255" s="10" t="s">
        <v>1699</v>
      </c>
      <c r="S255" s="11"/>
      <c r="T255" s="6"/>
      <c r="U255" s="27" t="str">
        <f>HYPERLINK("https://media.infra-m.ru/1853/1853445/cover/1853445.jpg", "Обложка")</f>
        <v>Обложка</v>
      </c>
      <c r="V255" s="27" t="str">
        <f>HYPERLINK("https://znanium.com/catalog/product/1853445", "Ознакомиться")</f>
        <v>Ознакомиться</v>
      </c>
      <c r="W255" s="8" t="s">
        <v>638</v>
      </c>
      <c r="X255" s="6"/>
      <c r="Y255" s="6"/>
      <c r="Z255" s="6"/>
      <c r="AA255" s="6" t="s">
        <v>128</v>
      </c>
    </row>
    <row r="256" spans="1:27" s="4" customFormat="1" ht="42" customHeight="1">
      <c r="A256" s="5">
        <v>0</v>
      </c>
      <c r="B256" s="6" t="s">
        <v>1700</v>
      </c>
      <c r="C256" s="13">
        <v>770</v>
      </c>
      <c r="D256" s="8" t="s">
        <v>1701</v>
      </c>
      <c r="E256" s="8" t="s">
        <v>1702</v>
      </c>
      <c r="F256" s="8" t="s">
        <v>1703</v>
      </c>
      <c r="G256" s="6" t="s">
        <v>37</v>
      </c>
      <c r="H256" s="6" t="s">
        <v>38</v>
      </c>
      <c r="I256" s="8" t="s">
        <v>39</v>
      </c>
      <c r="J256" s="9">
        <v>1</v>
      </c>
      <c r="K256" s="9">
        <v>167</v>
      </c>
      <c r="L256" s="9">
        <v>2024</v>
      </c>
      <c r="M256" s="8" t="s">
        <v>1704</v>
      </c>
      <c r="N256" s="8" t="s">
        <v>41</v>
      </c>
      <c r="O256" s="8" t="s">
        <v>42</v>
      </c>
      <c r="P256" s="6" t="s">
        <v>185</v>
      </c>
      <c r="Q256" s="8" t="s">
        <v>44</v>
      </c>
      <c r="R256" s="10" t="s">
        <v>1705</v>
      </c>
      <c r="S256" s="11"/>
      <c r="T256" s="6"/>
      <c r="U256" s="27" t="str">
        <f>HYPERLINK("https://media.infra-m.ru/2118/2118099/cover/2118099.jpg", "Обложка")</f>
        <v>Обложка</v>
      </c>
      <c r="V256" s="27" t="str">
        <f>HYPERLINK("https://znanium.com/catalog/product/2118099", "Ознакомиться")</f>
        <v>Ознакомиться</v>
      </c>
      <c r="W256" s="8" t="s">
        <v>116</v>
      </c>
      <c r="X256" s="6"/>
      <c r="Y256" s="6"/>
      <c r="Z256" s="6"/>
      <c r="AA256" s="6" t="s">
        <v>136</v>
      </c>
    </row>
    <row r="257" spans="1:27" s="4" customFormat="1" ht="51.95" customHeight="1">
      <c r="A257" s="5">
        <v>0</v>
      </c>
      <c r="B257" s="6" t="s">
        <v>1706</v>
      </c>
      <c r="C257" s="13">
        <v>994</v>
      </c>
      <c r="D257" s="8" t="s">
        <v>1707</v>
      </c>
      <c r="E257" s="8" t="s">
        <v>1708</v>
      </c>
      <c r="F257" s="8" t="s">
        <v>1709</v>
      </c>
      <c r="G257" s="6" t="s">
        <v>37</v>
      </c>
      <c r="H257" s="6" t="s">
        <v>38</v>
      </c>
      <c r="I257" s="8" t="s">
        <v>122</v>
      </c>
      <c r="J257" s="9">
        <v>1</v>
      </c>
      <c r="K257" s="9">
        <v>220</v>
      </c>
      <c r="L257" s="9">
        <v>2023</v>
      </c>
      <c r="M257" s="8" t="s">
        <v>1710</v>
      </c>
      <c r="N257" s="8" t="s">
        <v>41</v>
      </c>
      <c r="O257" s="8" t="s">
        <v>42</v>
      </c>
      <c r="P257" s="6" t="s">
        <v>77</v>
      </c>
      <c r="Q257" s="8" t="s">
        <v>124</v>
      </c>
      <c r="R257" s="10" t="s">
        <v>1711</v>
      </c>
      <c r="S257" s="11" t="s">
        <v>1712</v>
      </c>
      <c r="T257" s="6"/>
      <c r="U257" s="27" t="str">
        <f>HYPERLINK("https://media.infra-m.ru/2002/2002644/cover/2002644.jpg", "Обложка")</f>
        <v>Обложка</v>
      </c>
      <c r="V257" s="27" t="str">
        <f>HYPERLINK("https://znanium.com/catalog/product/762235", "Ознакомиться")</f>
        <v>Ознакомиться</v>
      </c>
      <c r="W257" s="8" t="s">
        <v>108</v>
      </c>
      <c r="X257" s="6"/>
      <c r="Y257" s="6"/>
      <c r="Z257" s="6"/>
      <c r="AA257" s="6" t="s">
        <v>372</v>
      </c>
    </row>
    <row r="258" spans="1:27" s="4" customFormat="1" ht="42" customHeight="1">
      <c r="A258" s="5">
        <v>0</v>
      </c>
      <c r="B258" s="6" t="s">
        <v>1713</v>
      </c>
      <c r="C258" s="13">
        <v>640</v>
      </c>
      <c r="D258" s="8" t="s">
        <v>1714</v>
      </c>
      <c r="E258" s="8" t="s">
        <v>1715</v>
      </c>
      <c r="F258" s="8" t="s">
        <v>1716</v>
      </c>
      <c r="G258" s="6" t="s">
        <v>37</v>
      </c>
      <c r="H258" s="6" t="s">
        <v>38</v>
      </c>
      <c r="I258" s="8" t="s">
        <v>54</v>
      </c>
      <c r="J258" s="9">
        <v>1</v>
      </c>
      <c r="K258" s="9">
        <v>189</v>
      </c>
      <c r="L258" s="9">
        <v>2019</v>
      </c>
      <c r="M258" s="8" t="s">
        <v>1717</v>
      </c>
      <c r="N258" s="8" t="s">
        <v>41</v>
      </c>
      <c r="O258" s="8" t="s">
        <v>42</v>
      </c>
      <c r="P258" s="6" t="s">
        <v>58</v>
      </c>
      <c r="Q258" s="8" t="s">
        <v>44</v>
      </c>
      <c r="R258" s="10" t="s">
        <v>1718</v>
      </c>
      <c r="S258" s="11"/>
      <c r="T258" s="6"/>
      <c r="U258" s="27" t="str">
        <f>HYPERLINK("https://media.infra-m.ru/0987/0987764/cover/987764.jpg", "Обложка")</f>
        <v>Обложка</v>
      </c>
      <c r="V258" s="27" t="str">
        <f>HYPERLINK("https://znanium.com/catalog/product/987764", "Ознакомиться")</f>
        <v>Ознакомиться</v>
      </c>
      <c r="W258" s="8" t="s">
        <v>262</v>
      </c>
      <c r="X258" s="6"/>
      <c r="Y258" s="6"/>
      <c r="Z258" s="6"/>
      <c r="AA258" s="6" t="s">
        <v>48</v>
      </c>
    </row>
    <row r="259" spans="1:27" s="4" customFormat="1" ht="51.95" customHeight="1">
      <c r="A259" s="5">
        <v>0</v>
      </c>
      <c r="B259" s="6" t="s">
        <v>1719</v>
      </c>
      <c r="C259" s="13">
        <v>990</v>
      </c>
      <c r="D259" s="8" t="s">
        <v>1720</v>
      </c>
      <c r="E259" s="8" t="s">
        <v>1721</v>
      </c>
      <c r="F259" s="8" t="s">
        <v>1722</v>
      </c>
      <c r="G259" s="6" t="s">
        <v>37</v>
      </c>
      <c r="H259" s="6" t="s">
        <v>38</v>
      </c>
      <c r="I259" s="8" t="s">
        <v>738</v>
      </c>
      <c r="J259" s="9">
        <v>1</v>
      </c>
      <c r="K259" s="9">
        <v>219</v>
      </c>
      <c r="L259" s="9">
        <v>2023</v>
      </c>
      <c r="M259" s="8" t="s">
        <v>1723</v>
      </c>
      <c r="N259" s="8" t="s">
        <v>56</v>
      </c>
      <c r="O259" s="8" t="s">
        <v>57</v>
      </c>
      <c r="P259" s="6" t="s">
        <v>77</v>
      </c>
      <c r="Q259" s="8" t="s">
        <v>740</v>
      </c>
      <c r="R259" s="10" t="s">
        <v>1724</v>
      </c>
      <c r="S259" s="11" t="s">
        <v>1725</v>
      </c>
      <c r="T259" s="6" t="s">
        <v>46</v>
      </c>
      <c r="U259" s="27" t="str">
        <f>HYPERLINK("https://media.infra-m.ru/1988/1988443/cover/1988443.jpg", "Обложка")</f>
        <v>Обложка</v>
      </c>
      <c r="V259" s="27" t="str">
        <f>HYPERLINK("https://znanium.com/catalog/product/1988443", "Ознакомиться")</f>
        <v>Ознакомиться</v>
      </c>
      <c r="W259" s="8" t="s">
        <v>1726</v>
      </c>
      <c r="X259" s="6"/>
      <c r="Y259" s="6"/>
      <c r="Z259" s="6"/>
      <c r="AA259" s="6" t="s">
        <v>48</v>
      </c>
    </row>
    <row r="260" spans="1:27" s="4" customFormat="1" ht="51.95" customHeight="1">
      <c r="A260" s="5">
        <v>0</v>
      </c>
      <c r="B260" s="6" t="s">
        <v>1727</v>
      </c>
      <c r="C260" s="7">
        <v>1830</v>
      </c>
      <c r="D260" s="8" t="s">
        <v>1728</v>
      </c>
      <c r="E260" s="8" t="s">
        <v>1729</v>
      </c>
      <c r="F260" s="8" t="s">
        <v>1193</v>
      </c>
      <c r="G260" s="6" t="s">
        <v>165</v>
      </c>
      <c r="H260" s="6" t="s">
        <v>38</v>
      </c>
      <c r="I260" s="8" t="s">
        <v>183</v>
      </c>
      <c r="J260" s="9">
        <v>1</v>
      </c>
      <c r="K260" s="9">
        <v>405</v>
      </c>
      <c r="L260" s="9">
        <v>2023</v>
      </c>
      <c r="M260" s="8" t="s">
        <v>1730</v>
      </c>
      <c r="N260" s="8" t="s">
        <v>41</v>
      </c>
      <c r="O260" s="8" t="s">
        <v>42</v>
      </c>
      <c r="P260" s="6" t="s">
        <v>150</v>
      </c>
      <c r="Q260" s="8" t="s">
        <v>316</v>
      </c>
      <c r="R260" s="10" t="s">
        <v>522</v>
      </c>
      <c r="S260" s="11" t="s">
        <v>1731</v>
      </c>
      <c r="T260" s="6" t="s">
        <v>46</v>
      </c>
      <c r="U260" s="27" t="str">
        <f>HYPERLINK("https://media.infra-m.ru/2011/2011492/cover/2011492.jpg", "Обложка")</f>
        <v>Обложка</v>
      </c>
      <c r="V260" s="27" t="str">
        <f>HYPERLINK("https://znanium.com/catalog/product/1912089", "Ознакомиться")</f>
        <v>Ознакомиться</v>
      </c>
      <c r="W260" s="8" t="s">
        <v>1197</v>
      </c>
      <c r="X260" s="6"/>
      <c r="Y260" s="6"/>
      <c r="Z260" s="6"/>
      <c r="AA260" s="6" t="s">
        <v>117</v>
      </c>
    </row>
    <row r="261" spans="1:27" s="4" customFormat="1" ht="51.95" customHeight="1">
      <c r="A261" s="5">
        <v>0</v>
      </c>
      <c r="B261" s="6" t="s">
        <v>1732</v>
      </c>
      <c r="C261" s="13">
        <v>854</v>
      </c>
      <c r="D261" s="8" t="s">
        <v>1733</v>
      </c>
      <c r="E261" s="8" t="s">
        <v>1734</v>
      </c>
      <c r="F261" s="8" t="s">
        <v>647</v>
      </c>
      <c r="G261" s="6" t="s">
        <v>53</v>
      </c>
      <c r="H261" s="6" t="s">
        <v>38</v>
      </c>
      <c r="I261" s="8" t="s">
        <v>122</v>
      </c>
      <c r="J261" s="9">
        <v>1</v>
      </c>
      <c r="K261" s="9">
        <v>187</v>
      </c>
      <c r="L261" s="9">
        <v>2023</v>
      </c>
      <c r="M261" s="8" t="s">
        <v>1735</v>
      </c>
      <c r="N261" s="8" t="s">
        <v>41</v>
      </c>
      <c r="O261" s="8" t="s">
        <v>42</v>
      </c>
      <c r="P261" s="6" t="s">
        <v>150</v>
      </c>
      <c r="Q261" s="8" t="s">
        <v>124</v>
      </c>
      <c r="R261" s="10" t="s">
        <v>1736</v>
      </c>
      <c r="S261" s="11" t="s">
        <v>1737</v>
      </c>
      <c r="T261" s="6"/>
      <c r="U261" s="27" t="str">
        <f>HYPERLINK("https://media.infra-m.ru/1932/1932347/cover/1932347.jpg", "Обложка")</f>
        <v>Обложка</v>
      </c>
      <c r="V261" s="27" t="str">
        <f>HYPERLINK("https://znanium.com/catalog/product/1900992", "Ознакомиться")</f>
        <v>Ознакомиться</v>
      </c>
      <c r="W261" s="8" t="s">
        <v>651</v>
      </c>
      <c r="X261" s="6"/>
      <c r="Y261" s="6"/>
      <c r="Z261" s="6"/>
      <c r="AA261" s="6" t="s">
        <v>48</v>
      </c>
    </row>
    <row r="262" spans="1:27" s="4" customFormat="1" ht="51.95" customHeight="1">
      <c r="A262" s="5">
        <v>0</v>
      </c>
      <c r="B262" s="6" t="s">
        <v>1738</v>
      </c>
      <c r="C262" s="7">
        <v>1164.9000000000001</v>
      </c>
      <c r="D262" s="8" t="s">
        <v>1739</v>
      </c>
      <c r="E262" s="8" t="s">
        <v>1740</v>
      </c>
      <c r="F262" s="8" t="s">
        <v>1741</v>
      </c>
      <c r="G262" s="6" t="s">
        <v>37</v>
      </c>
      <c r="H262" s="6" t="s">
        <v>38</v>
      </c>
      <c r="I262" s="8" t="s">
        <v>75</v>
      </c>
      <c r="J262" s="9">
        <v>1</v>
      </c>
      <c r="K262" s="9">
        <v>258</v>
      </c>
      <c r="L262" s="9">
        <v>2023</v>
      </c>
      <c r="M262" s="8" t="s">
        <v>1742</v>
      </c>
      <c r="N262" s="8" t="s">
        <v>41</v>
      </c>
      <c r="O262" s="8" t="s">
        <v>42</v>
      </c>
      <c r="P262" s="6" t="s">
        <v>77</v>
      </c>
      <c r="Q262" s="8" t="s">
        <v>78</v>
      </c>
      <c r="R262" s="10" t="s">
        <v>1743</v>
      </c>
      <c r="S262" s="11" t="s">
        <v>1582</v>
      </c>
      <c r="T262" s="6"/>
      <c r="U262" s="27" t="str">
        <f>HYPERLINK("https://media.infra-m.ru/1922/1922306/cover/1922306.jpg", "Обложка")</f>
        <v>Обложка</v>
      </c>
      <c r="V262" s="27" t="str">
        <f>HYPERLINK("https://znanium.com/catalog/product/1863273", "Ознакомиться")</f>
        <v>Ознакомиться</v>
      </c>
      <c r="W262" s="8" t="s">
        <v>116</v>
      </c>
      <c r="X262" s="6"/>
      <c r="Y262" s="6"/>
      <c r="Z262" s="6" t="s">
        <v>82</v>
      </c>
      <c r="AA262" s="6" t="s">
        <v>136</v>
      </c>
    </row>
    <row r="263" spans="1:27" s="4" customFormat="1" ht="51.95" customHeight="1">
      <c r="A263" s="5">
        <v>0</v>
      </c>
      <c r="B263" s="6" t="s">
        <v>1744</v>
      </c>
      <c r="C263" s="7">
        <v>1160</v>
      </c>
      <c r="D263" s="8" t="s">
        <v>1745</v>
      </c>
      <c r="E263" s="8" t="s">
        <v>1740</v>
      </c>
      <c r="F263" s="8" t="s">
        <v>1746</v>
      </c>
      <c r="G263" s="6" t="s">
        <v>37</v>
      </c>
      <c r="H263" s="6" t="s">
        <v>38</v>
      </c>
      <c r="I263" s="8" t="s">
        <v>173</v>
      </c>
      <c r="J263" s="9">
        <v>1</v>
      </c>
      <c r="K263" s="9">
        <v>258</v>
      </c>
      <c r="L263" s="9">
        <v>2023</v>
      </c>
      <c r="M263" s="8" t="s">
        <v>1747</v>
      </c>
      <c r="N263" s="8" t="s">
        <v>41</v>
      </c>
      <c r="O263" s="8" t="s">
        <v>42</v>
      </c>
      <c r="P263" s="6" t="s">
        <v>77</v>
      </c>
      <c r="Q263" s="8" t="s">
        <v>89</v>
      </c>
      <c r="R263" s="10" t="s">
        <v>671</v>
      </c>
      <c r="S263" s="11" t="s">
        <v>523</v>
      </c>
      <c r="T263" s="6"/>
      <c r="U263" s="27" t="str">
        <f>HYPERLINK("https://media.infra-m.ru/1914/1914102/cover/1914102.jpg", "Обложка")</f>
        <v>Обложка</v>
      </c>
      <c r="V263" s="27" t="str">
        <f>HYPERLINK("https://znanium.com/catalog/product/1914102", "Ознакомиться")</f>
        <v>Ознакомиться</v>
      </c>
      <c r="W263" s="8" t="s">
        <v>116</v>
      </c>
      <c r="X263" s="6"/>
      <c r="Y263" s="6"/>
      <c r="Z263" s="6"/>
      <c r="AA263" s="6" t="s">
        <v>48</v>
      </c>
    </row>
    <row r="264" spans="1:27" s="4" customFormat="1" ht="51.95" customHeight="1">
      <c r="A264" s="5">
        <v>0</v>
      </c>
      <c r="B264" s="6" t="s">
        <v>1748</v>
      </c>
      <c r="C264" s="13">
        <v>994</v>
      </c>
      <c r="D264" s="8" t="s">
        <v>1749</v>
      </c>
      <c r="E264" s="8" t="s">
        <v>1750</v>
      </c>
      <c r="F264" s="8" t="s">
        <v>1746</v>
      </c>
      <c r="G264" s="6" t="s">
        <v>37</v>
      </c>
      <c r="H264" s="6" t="s">
        <v>38</v>
      </c>
      <c r="I264" s="8" t="s">
        <v>75</v>
      </c>
      <c r="J264" s="9">
        <v>1</v>
      </c>
      <c r="K264" s="9">
        <v>216</v>
      </c>
      <c r="L264" s="9">
        <v>2024</v>
      </c>
      <c r="M264" s="8" t="s">
        <v>1751</v>
      </c>
      <c r="N264" s="8" t="s">
        <v>41</v>
      </c>
      <c r="O264" s="8" t="s">
        <v>42</v>
      </c>
      <c r="P264" s="6" t="s">
        <v>150</v>
      </c>
      <c r="Q264" s="8" t="s">
        <v>78</v>
      </c>
      <c r="R264" s="10" t="s">
        <v>1752</v>
      </c>
      <c r="S264" s="11" t="s">
        <v>690</v>
      </c>
      <c r="T264" s="6"/>
      <c r="U264" s="27" t="str">
        <f>HYPERLINK("https://media.infra-m.ru/1934/1934011/cover/1934011.jpg", "Обложка")</f>
        <v>Обложка</v>
      </c>
      <c r="V264" s="27" t="str">
        <f>HYPERLINK("https://znanium.com/catalog/product/1851428", "Ознакомиться")</f>
        <v>Ознакомиться</v>
      </c>
      <c r="W264" s="8" t="s">
        <v>116</v>
      </c>
      <c r="X264" s="6"/>
      <c r="Y264" s="6"/>
      <c r="Z264" s="6" t="s">
        <v>82</v>
      </c>
      <c r="AA264" s="6" t="s">
        <v>70</v>
      </c>
    </row>
    <row r="265" spans="1:27" s="4" customFormat="1" ht="51.95" customHeight="1">
      <c r="A265" s="5">
        <v>0</v>
      </c>
      <c r="B265" s="6" t="s">
        <v>1753</v>
      </c>
      <c r="C265" s="13">
        <v>990</v>
      </c>
      <c r="D265" s="8" t="s">
        <v>1754</v>
      </c>
      <c r="E265" s="8" t="s">
        <v>1750</v>
      </c>
      <c r="F265" s="8" t="s">
        <v>1741</v>
      </c>
      <c r="G265" s="6" t="s">
        <v>37</v>
      </c>
      <c r="H265" s="6" t="s">
        <v>38</v>
      </c>
      <c r="I265" s="8" t="s">
        <v>173</v>
      </c>
      <c r="J265" s="9">
        <v>1</v>
      </c>
      <c r="K265" s="9">
        <v>216</v>
      </c>
      <c r="L265" s="9">
        <v>2023</v>
      </c>
      <c r="M265" s="8" t="s">
        <v>1755</v>
      </c>
      <c r="N265" s="8" t="s">
        <v>41</v>
      </c>
      <c r="O265" s="8" t="s">
        <v>42</v>
      </c>
      <c r="P265" s="6" t="s">
        <v>150</v>
      </c>
      <c r="Q265" s="8" t="s">
        <v>89</v>
      </c>
      <c r="R265" s="10" t="s">
        <v>1756</v>
      </c>
      <c r="S265" s="11" t="s">
        <v>1147</v>
      </c>
      <c r="T265" s="6"/>
      <c r="U265" s="27" t="str">
        <f>HYPERLINK("https://media.infra-m.ru/2001/2001631/cover/2001631.jpg", "Обложка")</f>
        <v>Обложка</v>
      </c>
      <c r="V265" s="27" t="str">
        <f>HYPERLINK("https://znanium.com/catalog/product/2001631", "Ознакомиться")</f>
        <v>Ознакомиться</v>
      </c>
      <c r="W265" s="8" t="s">
        <v>116</v>
      </c>
      <c r="X265" s="6"/>
      <c r="Y265" s="6"/>
      <c r="Z265" s="6"/>
      <c r="AA265" s="6" t="s">
        <v>48</v>
      </c>
    </row>
    <row r="266" spans="1:27" s="4" customFormat="1" ht="51.95" customHeight="1">
      <c r="A266" s="5">
        <v>0</v>
      </c>
      <c r="B266" s="6" t="s">
        <v>1757</v>
      </c>
      <c r="C266" s="7">
        <v>1510</v>
      </c>
      <c r="D266" s="8" t="s">
        <v>1758</v>
      </c>
      <c r="E266" s="8" t="s">
        <v>1759</v>
      </c>
      <c r="F266" s="8" t="s">
        <v>1760</v>
      </c>
      <c r="G266" s="6" t="s">
        <v>37</v>
      </c>
      <c r="H266" s="6" t="s">
        <v>248</v>
      </c>
      <c r="I266" s="8" t="s">
        <v>1761</v>
      </c>
      <c r="J266" s="9">
        <v>1</v>
      </c>
      <c r="K266" s="9">
        <v>320</v>
      </c>
      <c r="L266" s="9">
        <v>2024</v>
      </c>
      <c r="M266" s="8" t="s">
        <v>1762</v>
      </c>
      <c r="N266" s="8" t="s">
        <v>41</v>
      </c>
      <c r="O266" s="8" t="s">
        <v>42</v>
      </c>
      <c r="P266" s="6" t="s">
        <v>77</v>
      </c>
      <c r="Q266" s="8" t="s">
        <v>124</v>
      </c>
      <c r="R266" s="10" t="s">
        <v>1763</v>
      </c>
      <c r="S266" s="11" t="s">
        <v>1764</v>
      </c>
      <c r="T266" s="6" t="s">
        <v>46</v>
      </c>
      <c r="U266" s="27" t="str">
        <f>HYPERLINK("https://media.infra-m.ru/2076/2076010/cover/2076010.jpg", "Обложка")</f>
        <v>Обложка</v>
      </c>
      <c r="V266" s="27" t="str">
        <f>HYPERLINK("https://znanium.com/catalog/product/2076010", "Ознакомиться")</f>
        <v>Ознакомиться</v>
      </c>
      <c r="W266" s="8" t="s">
        <v>1765</v>
      </c>
      <c r="X266" s="6"/>
      <c r="Y266" s="6"/>
      <c r="Z266" s="6"/>
      <c r="AA266" s="6" t="s">
        <v>208</v>
      </c>
    </row>
    <row r="267" spans="1:27" s="4" customFormat="1" ht="51.95" customHeight="1">
      <c r="A267" s="5">
        <v>0</v>
      </c>
      <c r="B267" s="6" t="s">
        <v>1766</v>
      </c>
      <c r="C267" s="7">
        <v>1730</v>
      </c>
      <c r="D267" s="8" t="s">
        <v>1767</v>
      </c>
      <c r="E267" s="8" t="s">
        <v>1768</v>
      </c>
      <c r="F267" s="8" t="s">
        <v>1769</v>
      </c>
      <c r="G267" s="6" t="s">
        <v>37</v>
      </c>
      <c r="H267" s="6" t="s">
        <v>38</v>
      </c>
      <c r="I267" s="8" t="s">
        <v>183</v>
      </c>
      <c r="J267" s="9">
        <v>1</v>
      </c>
      <c r="K267" s="9">
        <v>382</v>
      </c>
      <c r="L267" s="9">
        <v>2023</v>
      </c>
      <c r="M267" s="8" t="s">
        <v>1770</v>
      </c>
      <c r="N267" s="8" t="s">
        <v>41</v>
      </c>
      <c r="O267" s="8" t="s">
        <v>42</v>
      </c>
      <c r="P267" s="6" t="s">
        <v>150</v>
      </c>
      <c r="Q267" s="8" t="s">
        <v>316</v>
      </c>
      <c r="R267" s="10" t="s">
        <v>414</v>
      </c>
      <c r="S267" s="11" t="s">
        <v>1771</v>
      </c>
      <c r="T267" s="6"/>
      <c r="U267" s="27" t="str">
        <f>HYPERLINK("https://media.infra-m.ru/2034/2034622/cover/2034622.jpg", "Обложка")</f>
        <v>Обложка</v>
      </c>
      <c r="V267" s="27" t="str">
        <f>HYPERLINK("https://znanium.com/catalog/product/1733143", "Ознакомиться")</f>
        <v>Ознакомиться</v>
      </c>
      <c r="W267" s="8" t="s">
        <v>116</v>
      </c>
      <c r="X267" s="6"/>
      <c r="Y267" s="6"/>
      <c r="Z267" s="6"/>
      <c r="AA267" s="6" t="s">
        <v>61</v>
      </c>
    </row>
    <row r="268" spans="1:27" s="4" customFormat="1" ht="51.95" customHeight="1">
      <c r="A268" s="5">
        <v>0</v>
      </c>
      <c r="B268" s="6" t="s">
        <v>1772</v>
      </c>
      <c r="C268" s="13">
        <v>630</v>
      </c>
      <c r="D268" s="8" t="s">
        <v>1773</v>
      </c>
      <c r="E268" s="8" t="s">
        <v>1774</v>
      </c>
      <c r="F268" s="8" t="s">
        <v>1775</v>
      </c>
      <c r="G268" s="6" t="s">
        <v>37</v>
      </c>
      <c r="H268" s="6" t="s">
        <v>248</v>
      </c>
      <c r="I268" s="8" t="s">
        <v>75</v>
      </c>
      <c r="J268" s="9">
        <v>1</v>
      </c>
      <c r="K268" s="9">
        <v>160</v>
      </c>
      <c r="L268" s="9">
        <v>2022</v>
      </c>
      <c r="M268" s="8" t="s">
        <v>1776</v>
      </c>
      <c r="N268" s="8" t="s">
        <v>56</v>
      </c>
      <c r="O268" s="8" t="s">
        <v>57</v>
      </c>
      <c r="P268" s="6" t="s">
        <v>77</v>
      </c>
      <c r="Q268" s="8" t="s">
        <v>78</v>
      </c>
      <c r="R268" s="10" t="s">
        <v>1777</v>
      </c>
      <c r="S268" s="11" t="s">
        <v>1778</v>
      </c>
      <c r="T268" s="6"/>
      <c r="U268" s="27" t="str">
        <f>HYPERLINK("https://media.infra-m.ru/1860/1860849/cover/1860849.jpg", "Обложка")</f>
        <v>Обложка</v>
      </c>
      <c r="V268" s="27" t="str">
        <f>HYPERLINK("https://znanium.com/catalog/product/1815628", "Ознакомиться")</f>
        <v>Ознакомиться</v>
      </c>
      <c r="W268" s="8" t="s">
        <v>341</v>
      </c>
      <c r="X268" s="6"/>
      <c r="Y268" s="6"/>
      <c r="Z268" s="6" t="s">
        <v>82</v>
      </c>
      <c r="AA268" s="6" t="s">
        <v>178</v>
      </c>
    </row>
    <row r="269" spans="1:27" s="4" customFormat="1" ht="51.95" customHeight="1">
      <c r="A269" s="5">
        <v>0</v>
      </c>
      <c r="B269" s="6" t="s">
        <v>1779</v>
      </c>
      <c r="C269" s="13">
        <v>764.9</v>
      </c>
      <c r="D269" s="8" t="s">
        <v>1780</v>
      </c>
      <c r="E269" s="8" t="s">
        <v>1774</v>
      </c>
      <c r="F269" s="8" t="s">
        <v>1775</v>
      </c>
      <c r="G269" s="6" t="s">
        <v>53</v>
      </c>
      <c r="H269" s="6" t="s">
        <v>248</v>
      </c>
      <c r="I269" s="8" t="s">
        <v>1781</v>
      </c>
      <c r="J269" s="9">
        <v>1</v>
      </c>
      <c r="K269" s="9">
        <v>160</v>
      </c>
      <c r="L269" s="9">
        <v>2024</v>
      </c>
      <c r="M269" s="8" t="s">
        <v>1782</v>
      </c>
      <c r="N269" s="8" t="s">
        <v>56</v>
      </c>
      <c r="O269" s="8" t="s">
        <v>57</v>
      </c>
      <c r="P269" s="6" t="s">
        <v>77</v>
      </c>
      <c r="Q269" s="8" t="s">
        <v>89</v>
      </c>
      <c r="R269" s="10" t="s">
        <v>1783</v>
      </c>
      <c r="S269" s="11" t="s">
        <v>1784</v>
      </c>
      <c r="T269" s="6"/>
      <c r="U269" s="27" t="str">
        <f>HYPERLINK("https://media.infra-m.ru/2091/2091894/cover/2091894.jpg", "Обложка")</f>
        <v>Обложка</v>
      </c>
      <c r="V269" s="27" t="str">
        <f>HYPERLINK("https://znanium.com/catalog/product/1843769", "Ознакомиться")</f>
        <v>Ознакомиться</v>
      </c>
      <c r="W269" s="8" t="s">
        <v>341</v>
      </c>
      <c r="X269" s="6"/>
      <c r="Y269" s="6"/>
      <c r="Z269" s="6"/>
      <c r="AA269" s="6" t="s">
        <v>208</v>
      </c>
    </row>
    <row r="270" spans="1:27" s="4" customFormat="1" ht="51.95" customHeight="1">
      <c r="A270" s="5">
        <v>0</v>
      </c>
      <c r="B270" s="6" t="s">
        <v>1785</v>
      </c>
      <c r="C270" s="7">
        <v>1990</v>
      </c>
      <c r="D270" s="8" t="s">
        <v>1786</v>
      </c>
      <c r="E270" s="8" t="s">
        <v>1787</v>
      </c>
      <c r="F270" s="8" t="s">
        <v>1788</v>
      </c>
      <c r="G270" s="6" t="s">
        <v>37</v>
      </c>
      <c r="H270" s="6" t="s">
        <v>38</v>
      </c>
      <c r="I270" s="8" t="s">
        <v>173</v>
      </c>
      <c r="J270" s="9">
        <v>1</v>
      </c>
      <c r="K270" s="9">
        <v>439</v>
      </c>
      <c r="L270" s="9">
        <v>2023</v>
      </c>
      <c r="M270" s="8" t="s">
        <v>1789</v>
      </c>
      <c r="N270" s="8" t="s">
        <v>41</v>
      </c>
      <c r="O270" s="8" t="s">
        <v>42</v>
      </c>
      <c r="P270" s="6" t="s">
        <v>150</v>
      </c>
      <c r="Q270" s="8" t="s">
        <v>89</v>
      </c>
      <c r="R270" s="10" t="s">
        <v>1790</v>
      </c>
      <c r="S270" s="11" t="s">
        <v>1791</v>
      </c>
      <c r="T270" s="6"/>
      <c r="U270" s="27" t="str">
        <f>HYPERLINK("https://media.infra-m.ru/2003/2003475/cover/2003475.jpg", "Обложка")</f>
        <v>Обложка</v>
      </c>
      <c r="V270" s="27" t="str">
        <f>HYPERLINK("https://znanium.com/catalog/product/1842519", "Ознакомиться")</f>
        <v>Ознакомиться</v>
      </c>
      <c r="W270" s="8" t="s">
        <v>785</v>
      </c>
      <c r="X270" s="6"/>
      <c r="Y270" s="6"/>
      <c r="Z270" s="6"/>
      <c r="AA270" s="6" t="s">
        <v>178</v>
      </c>
    </row>
    <row r="271" spans="1:27" s="4" customFormat="1" ht="51.95" customHeight="1">
      <c r="A271" s="5">
        <v>0</v>
      </c>
      <c r="B271" s="6" t="s">
        <v>1792</v>
      </c>
      <c r="C271" s="7">
        <v>1544</v>
      </c>
      <c r="D271" s="8" t="s">
        <v>1793</v>
      </c>
      <c r="E271" s="8" t="s">
        <v>1787</v>
      </c>
      <c r="F271" s="8" t="s">
        <v>1794</v>
      </c>
      <c r="G271" s="6" t="s">
        <v>37</v>
      </c>
      <c r="H271" s="6" t="s">
        <v>38</v>
      </c>
      <c r="I271" s="8" t="s">
        <v>75</v>
      </c>
      <c r="J271" s="9">
        <v>1</v>
      </c>
      <c r="K271" s="9">
        <v>335</v>
      </c>
      <c r="L271" s="9">
        <v>2024</v>
      </c>
      <c r="M271" s="8" t="s">
        <v>1795</v>
      </c>
      <c r="N271" s="8" t="s">
        <v>41</v>
      </c>
      <c r="O271" s="8" t="s">
        <v>42</v>
      </c>
      <c r="P271" s="6" t="s">
        <v>150</v>
      </c>
      <c r="Q271" s="8" t="s">
        <v>78</v>
      </c>
      <c r="R271" s="10" t="s">
        <v>1796</v>
      </c>
      <c r="S271" s="11" t="s">
        <v>1797</v>
      </c>
      <c r="T271" s="6"/>
      <c r="U271" s="27" t="str">
        <f>HYPERLINK("https://media.infra-m.ru/2100/2100009/cover/2100009.jpg", "Обложка")</f>
        <v>Обложка</v>
      </c>
      <c r="V271" s="27" t="str">
        <f>HYPERLINK("https://znanium.com/catalog/product/2100008", "Ознакомиться")</f>
        <v>Ознакомиться</v>
      </c>
      <c r="W271" s="8" t="s">
        <v>116</v>
      </c>
      <c r="X271" s="6"/>
      <c r="Y271" s="6"/>
      <c r="Z271" s="6" t="s">
        <v>82</v>
      </c>
      <c r="AA271" s="6" t="s">
        <v>83</v>
      </c>
    </row>
    <row r="272" spans="1:27" s="4" customFormat="1" ht="51.95" customHeight="1">
      <c r="A272" s="5">
        <v>0</v>
      </c>
      <c r="B272" s="6" t="s">
        <v>1798</v>
      </c>
      <c r="C272" s="7">
        <v>1550</v>
      </c>
      <c r="D272" s="8" t="s">
        <v>1799</v>
      </c>
      <c r="E272" s="8" t="s">
        <v>1787</v>
      </c>
      <c r="F272" s="8" t="s">
        <v>1794</v>
      </c>
      <c r="G272" s="6" t="s">
        <v>37</v>
      </c>
      <c r="H272" s="6" t="s">
        <v>38</v>
      </c>
      <c r="I272" s="8" t="s">
        <v>183</v>
      </c>
      <c r="J272" s="9">
        <v>1</v>
      </c>
      <c r="K272" s="9">
        <v>335</v>
      </c>
      <c r="L272" s="9">
        <v>2024</v>
      </c>
      <c r="M272" s="8" t="s">
        <v>1800</v>
      </c>
      <c r="N272" s="8" t="s">
        <v>41</v>
      </c>
      <c r="O272" s="8" t="s">
        <v>42</v>
      </c>
      <c r="P272" s="6" t="s">
        <v>150</v>
      </c>
      <c r="Q272" s="8" t="s">
        <v>89</v>
      </c>
      <c r="R272" s="10" t="s">
        <v>1801</v>
      </c>
      <c r="S272" s="11" t="s">
        <v>1802</v>
      </c>
      <c r="T272" s="6"/>
      <c r="U272" s="27" t="str">
        <f>HYPERLINK("https://media.infra-m.ru/2094/2094371/cover/2094371.jpg", "Обложка")</f>
        <v>Обложка</v>
      </c>
      <c r="V272" s="27" t="str">
        <f>HYPERLINK("https://znanium.com/catalog/product/2094371", "Ознакомиться")</f>
        <v>Ознакомиться</v>
      </c>
      <c r="W272" s="8" t="s">
        <v>116</v>
      </c>
      <c r="X272" s="6"/>
      <c r="Y272" s="6" t="s">
        <v>30</v>
      </c>
      <c r="Z272" s="6"/>
      <c r="AA272" s="6" t="s">
        <v>109</v>
      </c>
    </row>
    <row r="273" spans="1:27" s="4" customFormat="1" ht="51.95" customHeight="1">
      <c r="A273" s="5">
        <v>0</v>
      </c>
      <c r="B273" s="6" t="s">
        <v>1803</v>
      </c>
      <c r="C273" s="13">
        <v>550</v>
      </c>
      <c r="D273" s="8" t="s">
        <v>1804</v>
      </c>
      <c r="E273" s="8" t="s">
        <v>1805</v>
      </c>
      <c r="F273" s="8" t="s">
        <v>1806</v>
      </c>
      <c r="G273" s="6" t="s">
        <v>53</v>
      </c>
      <c r="H273" s="6" t="s">
        <v>87</v>
      </c>
      <c r="I273" s="8" t="s">
        <v>173</v>
      </c>
      <c r="J273" s="9">
        <v>1</v>
      </c>
      <c r="K273" s="9">
        <v>159</v>
      </c>
      <c r="L273" s="9">
        <v>2020</v>
      </c>
      <c r="M273" s="8" t="s">
        <v>1807</v>
      </c>
      <c r="N273" s="8" t="s">
        <v>41</v>
      </c>
      <c r="O273" s="8" t="s">
        <v>42</v>
      </c>
      <c r="P273" s="6" t="s">
        <v>77</v>
      </c>
      <c r="Q273" s="8" t="s">
        <v>89</v>
      </c>
      <c r="R273" s="10" t="s">
        <v>1808</v>
      </c>
      <c r="S273" s="11" t="s">
        <v>1809</v>
      </c>
      <c r="T273" s="6"/>
      <c r="U273" s="27" t="str">
        <f>HYPERLINK("https://media.infra-m.ru/1132/1132717/cover/1132717.jpg", "Обложка")</f>
        <v>Обложка</v>
      </c>
      <c r="V273" s="27" t="str">
        <f>HYPERLINK("https://znanium.com/catalog/product/1845986", "Ознакомиться")</f>
        <v>Ознакомиться</v>
      </c>
      <c r="W273" s="8" t="s">
        <v>444</v>
      </c>
      <c r="X273" s="6"/>
      <c r="Y273" s="6"/>
      <c r="Z273" s="6"/>
      <c r="AA273" s="6" t="s">
        <v>208</v>
      </c>
    </row>
    <row r="274" spans="1:27" s="4" customFormat="1" ht="51.95" customHeight="1">
      <c r="A274" s="5">
        <v>0</v>
      </c>
      <c r="B274" s="6" t="s">
        <v>1810</v>
      </c>
      <c r="C274" s="7">
        <v>1310</v>
      </c>
      <c r="D274" s="8" t="s">
        <v>1811</v>
      </c>
      <c r="E274" s="8" t="s">
        <v>1812</v>
      </c>
      <c r="F274" s="8" t="s">
        <v>212</v>
      </c>
      <c r="G274" s="6" t="s">
        <v>165</v>
      </c>
      <c r="H274" s="6" t="s">
        <v>38</v>
      </c>
      <c r="I274" s="8" t="s">
        <v>183</v>
      </c>
      <c r="J274" s="9">
        <v>1</v>
      </c>
      <c r="K274" s="9">
        <v>281</v>
      </c>
      <c r="L274" s="9">
        <v>2023</v>
      </c>
      <c r="M274" s="8" t="s">
        <v>1813</v>
      </c>
      <c r="N274" s="8" t="s">
        <v>41</v>
      </c>
      <c r="O274" s="8" t="s">
        <v>42</v>
      </c>
      <c r="P274" s="6" t="s">
        <v>584</v>
      </c>
      <c r="Q274" s="8" t="s">
        <v>316</v>
      </c>
      <c r="R274" s="10" t="s">
        <v>1814</v>
      </c>
      <c r="S274" s="11"/>
      <c r="T274" s="6"/>
      <c r="U274" s="27" t="str">
        <f>HYPERLINK("https://media.infra-m.ru/1020/1020825/cover/1020825.jpg", "Обложка")</f>
        <v>Обложка</v>
      </c>
      <c r="V274" s="27" t="str">
        <f>HYPERLINK("https://znanium.com/catalog/product/1020825", "Ознакомиться")</f>
        <v>Ознакомиться</v>
      </c>
      <c r="W274" s="8" t="s">
        <v>215</v>
      </c>
      <c r="X274" s="6" t="s">
        <v>1815</v>
      </c>
      <c r="Y274" s="6"/>
      <c r="Z274" s="6"/>
      <c r="AA274" s="6" t="s">
        <v>61</v>
      </c>
    </row>
    <row r="275" spans="1:27" s="4" customFormat="1" ht="51.95" customHeight="1">
      <c r="A275" s="5">
        <v>0</v>
      </c>
      <c r="B275" s="6" t="s">
        <v>1816</v>
      </c>
      <c r="C275" s="13">
        <v>944.9</v>
      </c>
      <c r="D275" s="8" t="s">
        <v>1817</v>
      </c>
      <c r="E275" s="8" t="s">
        <v>1818</v>
      </c>
      <c r="F275" s="8" t="s">
        <v>212</v>
      </c>
      <c r="G275" s="6" t="s">
        <v>53</v>
      </c>
      <c r="H275" s="6" t="s">
        <v>38</v>
      </c>
      <c r="I275" s="8" t="s">
        <v>54</v>
      </c>
      <c r="J275" s="9">
        <v>1</v>
      </c>
      <c r="K275" s="9">
        <v>209</v>
      </c>
      <c r="L275" s="9">
        <v>2023</v>
      </c>
      <c r="M275" s="8" t="s">
        <v>1819</v>
      </c>
      <c r="N275" s="8" t="s">
        <v>41</v>
      </c>
      <c r="O275" s="8" t="s">
        <v>42</v>
      </c>
      <c r="P275" s="6" t="s">
        <v>58</v>
      </c>
      <c r="Q275" s="8" t="s">
        <v>44</v>
      </c>
      <c r="R275" s="10" t="s">
        <v>1820</v>
      </c>
      <c r="S275" s="11"/>
      <c r="T275" s="6"/>
      <c r="U275" s="27" t="str">
        <f>HYPERLINK("https://media.infra-m.ru/1976/1976157/cover/1976157.jpg", "Обложка")</f>
        <v>Обложка</v>
      </c>
      <c r="V275" s="27" t="str">
        <f>HYPERLINK("https://znanium.com/catalog/product/1168573", "Ознакомиться")</f>
        <v>Ознакомиться</v>
      </c>
      <c r="W275" s="8" t="s">
        <v>215</v>
      </c>
      <c r="X275" s="6"/>
      <c r="Y275" s="6"/>
      <c r="Z275" s="6"/>
      <c r="AA275" s="6" t="s">
        <v>128</v>
      </c>
    </row>
    <row r="276" spans="1:27" s="4" customFormat="1" ht="51.95" customHeight="1">
      <c r="A276" s="5">
        <v>0</v>
      </c>
      <c r="B276" s="6" t="s">
        <v>1821</v>
      </c>
      <c r="C276" s="7">
        <v>1550</v>
      </c>
      <c r="D276" s="8" t="s">
        <v>1822</v>
      </c>
      <c r="E276" s="8" t="s">
        <v>1823</v>
      </c>
      <c r="F276" s="8" t="s">
        <v>1824</v>
      </c>
      <c r="G276" s="6" t="s">
        <v>165</v>
      </c>
      <c r="H276" s="6" t="s">
        <v>38</v>
      </c>
      <c r="I276" s="8" t="s">
        <v>183</v>
      </c>
      <c r="J276" s="9">
        <v>1</v>
      </c>
      <c r="K276" s="9">
        <v>334</v>
      </c>
      <c r="L276" s="9">
        <v>2023</v>
      </c>
      <c r="M276" s="8" t="s">
        <v>1825</v>
      </c>
      <c r="N276" s="8" t="s">
        <v>41</v>
      </c>
      <c r="O276" s="8" t="s">
        <v>42</v>
      </c>
      <c r="P276" s="6" t="s">
        <v>77</v>
      </c>
      <c r="Q276" s="8" t="s">
        <v>89</v>
      </c>
      <c r="R276" s="10" t="s">
        <v>1568</v>
      </c>
      <c r="S276" s="11" t="s">
        <v>1826</v>
      </c>
      <c r="T276" s="6"/>
      <c r="U276" s="27" t="str">
        <f>HYPERLINK("https://media.infra-m.ru/1242/1242229/cover/1242229.jpg", "Обложка")</f>
        <v>Обложка</v>
      </c>
      <c r="V276" s="27" t="str">
        <f>HYPERLINK("https://znanium.com/catalog/product/1242229", "Ознакомиться")</f>
        <v>Ознакомиться</v>
      </c>
      <c r="W276" s="8" t="s">
        <v>785</v>
      </c>
      <c r="X276" s="6" t="s">
        <v>1827</v>
      </c>
      <c r="Y276" s="6"/>
      <c r="Z276" s="6"/>
      <c r="AA276" s="6" t="s">
        <v>61</v>
      </c>
    </row>
    <row r="277" spans="1:27" s="4" customFormat="1" ht="51.95" customHeight="1">
      <c r="A277" s="5">
        <v>0</v>
      </c>
      <c r="B277" s="6" t="s">
        <v>1828</v>
      </c>
      <c r="C277" s="7">
        <v>2090</v>
      </c>
      <c r="D277" s="8" t="s">
        <v>1829</v>
      </c>
      <c r="E277" s="8" t="s">
        <v>1830</v>
      </c>
      <c r="F277" s="8" t="s">
        <v>1831</v>
      </c>
      <c r="G277" s="6" t="s">
        <v>37</v>
      </c>
      <c r="H277" s="6" t="s">
        <v>38</v>
      </c>
      <c r="I277" s="8" t="s">
        <v>183</v>
      </c>
      <c r="J277" s="9">
        <v>1</v>
      </c>
      <c r="K277" s="9">
        <v>462</v>
      </c>
      <c r="L277" s="9">
        <v>2023</v>
      </c>
      <c r="M277" s="8" t="s">
        <v>1832</v>
      </c>
      <c r="N277" s="8" t="s">
        <v>41</v>
      </c>
      <c r="O277" s="8" t="s">
        <v>42</v>
      </c>
      <c r="P277" s="6" t="s">
        <v>150</v>
      </c>
      <c r="Q277" s="8" t="s">
        <v>316</v>
      </c>
      <c r="R277" s="10" t="s">
        <v>1833</v>
      </c>
      <c r="S277" s="11" t="s">
        <v>1834</v>
      </c>
      <c r="T277" s="6"/>
      <c r="U277" s="27" t="str">
        <f>HYPERLINK("https://media.infra-m.ru/2011/2011482/cover/2011482.jpg", "Обложка")</f>
        <v>Обложка</v>
      </c>
      <c r="V277" s="27" t="str">
        <f>HYPERLINK("https://znanium.com/catalog/product/1514399", "Ознакомиться")</f>
        <v>Ознакомиться</v>
      </c>
      <c r="W277" s="8"/>
      <c r="X277" s="6"/>
      <c r="Y277" s="6"/>
      <c r="Z277" s="6"/>
      <c r="AA277" s="6" t="s">
        <v>61</v>
      </c>
    </row>
    <row r="278" spans="1:27" s="4" customFormat="1" ht="51.95" customHeight="1">
      <c r="A278" s="5">
        <v>0</v>
      </c>
      <c r="B278" s="6" t="s">
        <v>1835</v>
      </c>
      <c r="C278" s="7">
        <v>1540</v>
      </c>
      <c r="D278" s="8" t="s">
        <v>1836</v>
      </c>
      <c r="E278" s="8" t="s">
        <v>1818</v>
      </c>
      <c r="F278" s="8" t="s">
        <v>1837</v>
      </c>
      <c r="G278" s="6" t="s">
        <v>37</v>
      </c>
      <c r="H278" s="6" t="s">
        <v>38</v>
      </c>
      <c r="I278" s="8" t="s">
        <v>75</v>
      </c>
      <c r="J278" s="9">
        <v>1</v>
      </c>
      <c r="K278" s="9">
        <v>421</v>
      </c>
      <c r="L278" s="9">
        <v>2021</v>
      </c>
      <c r="M278" s="8" t="s">
        <v>1838</v>
      </c>
      <c r="N278" s="8" t="s">
        <v>41</v>
      </c>
      <c r="O278" s="8" t="s">
        <v>42</v>
      </c>
      <c r="P278" s="6" t="s">
        <v>150</v>
      </c>
      <c r="Q278" s="8" t="s">
        <v>78</v>
      </c>
      <c r="R278" s="10" t="s">
        <v>1568</v>
      </c>
      <c r="S278" s="11" t="s">
        <v>1839</v>
      </c>
      <c r="T278" s="6"/>
      <c r="U278" s="27" t="str">
        <f>HYPERLINK("https://media.infra-m.ru/1243/1243115/cover/1243115.jpg", "Обложка")</f>
        <v>Обложка</v>
      </c>
      <c r="V278" s="27" t="str">
        <f>HYPERLINK("https://znanium.com/catalog/product/1243115", "Ознакомиться")</f>
        <v>Ознакомиться</v>
      </c>
      <c r="W278" s="8" t="s">
        <v>785</v>
      </c>
      <c r="X278" s="6"/>
      <c r="Y278" s="6"/>
      <c r="Z278" s="6" t="s">
        <v>579</v>
      </c>
      <c r="AA278" s="6" t="s">
        <v>128</v>
      </c>
    </row>
    <row r="279" spans="1:27" s="4" customFormat="1" ht="51.95" customHeight="1">
      <c r="A279" s="5">
        <v>0</v>
      </c>
      <c r="B279" s="6" t="s">
        <v>1840</v>
      </c>
      <c r="C279" s="7">
        <v>1950</v>
      </c>
      <c r="D279" s="8" t="s">
        <v>1841</v>
      </c>
      <c r="E279" s="8" t="s">
        <v>1818</v>
      </c>
      <c r="F279" s="8" t="s">
        <v>1837</v>
      </c>
      <c r="G279" s="6" t="s">
        <v>37</v>
      </c>
      <c r="H279" s="6" t="s">
        <v>38</v>
      </c>
      <c r="I279" s="8" t="s">
        <v>183</v>
      </c>
      <c r="J279" s="9">
        <v>1</v>
      </c>
      <c r="K279" s="9">
        <v>427</v>
      </c>
      <c r="L279" s="9">
        <v>2023</v>
      </c>
      <c r="M279" s="8" t="s">
        <v>1842</v>
      </c>
      <c r="N279" s="8" t="s">
        <v>41</v>
      </c>
      <c r="O279" s="8" t="s">
        <v>42</v>
      </c>
      <c r="P279" s="6" t="s">
        <v>150</v>
      </c>
      <c r="Q279" s="8" t="s">
        <v>316</v>
      </c>
      <c r="R279" s="10" t="s">
        <v>1568</v>
      </c>
      <c r="S279" s="11" t="s">
        <v>1843</v>
      </c>
      <c r="T279" s="6"/>
      <c r="U279" s="27" t="str">
        <f>HYPERLINK("https://media.infra-m.ru/2006/2006020/cover/2006020.jpg", "Обложка")</f>
        <v>Обложка</v>
      </c>
      <c r="V279" s="27" t="str">
        <f>HYPERLINK("https://znanium.com/catalog/product/2006020", "Ознакомиться")</f>
        <v>Ознакомиться</v>
      </c>
      <c r="W279" s="8" t="s">
        <v>785</v>
      </c>
      <c r="X279" s="6"/>
      <c r="Y279" s="6"/>
      <c r="Z279" s="6"/>
      <c r="AA279" s="6" t="s">
        <v>48</v>
      </c>
    </row>
    <row r="280" spans="1:27" s="4" customFormat="1" ht="51.95" customHeight="1">
      <c r="A280" s="5">
        <v>0</v>
      </c>
      <c r="B280" s="6" t="s">
        <v>1844</v>
      </c>
      <c r="C280" s="7">
        <v>1400</v>
      </c>
      <c r="D280" s="8" t="s">
        <v>1845</v>
      </c>
      <c r="E280" s="8" t="s">
        <v>1818</v>
      </c>
      <c r="F280" s="8" t="s">
        <v>1846</v>
      </c>
      <c r="G280" s="6" t="s">
        <v>37</v>
      </c>
      <c r="H280" s="6" t="s">
        <v>608</v>
      </c>
      <c r="I280" s="8" t="s">
        <v>609</v>
      </c>
      <c r="J280" s="9">
        <v>1</v>
      </c>
      <c r="K280" s="9">
        <v>303</v>
      </c>
      <c r="L280" s="9">
        <v>2023</v>
      </c>
      <c r="M280" s="8" t="s">
        <v>1847</v>
      </c>
      <c r="N280" s="8" t="s">
        <v>41</v>
      </c>
      <c r="O280" s="8" t="s">
        <v>42</v>
      </c>
      <c r="P280" s="6" t="s">
        <v>77</v>
      </c>
      <c r="Q280" s="8" t="s">
        <v>78</v>
      </c>
      <c r="R280" s="10" t="s">
        <v>1848</v>
      </c>
      <c r="S280" s="11"/>
      <c r="T280" s="6"/>
      <c r="U280" s="27" t="str">
        <f>HYPERLINK("https://media.infra-m.ru/1960/1960119/cover/1960119.jpg", "Обложка")</f>
        <v>Обложка</v>
      </c>
      <c r="V280" s="27" t="str">
        <f>HYPERLINK("https://znanium.com/catalog/product/1960119", "Ознакомиться")</f>
        <v>Ознакомиться</v>
      </c>
      <c r="W280" s="8" t="s">
        <v>1849</v>
      </c>
      <c r="X280" s="6"/>
      <c r="Y280" s="6"/>
      <c r="Z280" s="6" t="s">
        <v>82</v>
      </c>
      <c r="AA280" s="6" t="s">
        <v>136</v>
      </c>
    </row>
    <row r="281" spans="1:27" s="4" customFormat="1" ht="51.95" customHeight="1">
      <c r="A281" s="5">
        <v>0</v>
      </c>
      <c r="B281" s="6" t="s">
        <v>1850</v>
      </c>
      <c r="C281" s="7">
        <v>1384</v>
      </c>
      <c r="D281" s="8" t="s">
        <v>1851</v>
      </c>
      <c r="E281" s="8" t="s">
        <v>1852</v>
      </c>
      <c r="F281" s="8" t="s">
        <v>1846</v>
      </c>
      <c r="G281" s="6" t="s">
        <v>165</v>
      </c>
      <c r="H281" s="6" t="s">
        <v>608</v>
      </c>
      <c r="I281" s="8" t="s">
        <v>173</v>
      </c>
      <c r="J281" s="9">
        <v>1</v>
      </c>
      <c r="K281" s="9">
        <v>303</v>
      </c>
      <c r="L281" s="9">
        <v>2023</v>
      </c>
      <c r="M281" s="8" t="s">
        <v>1853</v>
      </c>
      <c r="N281" s="8" t="s">
        <v>41</v>
      </c>
      <c r="O281" s="8" t="s">
        <v>42</v>
      </c>
      <c r="P281" s="6" t="s">
        <v>77</v>
      </c>
      <c r="Q281" s="8" t="s">
        <v>89</v>
      </c>
      <c r="R281" s="10" t="s">
        <v>1568</v>
      </c>
      <c r="S281" s="11"/>
      <c r="T281" s="6"/>
      <c r="U281" s="27" t="str">
        <f>HYPERLINK("https://media.infra-m.ru/1920/1920335/cover/1920335.jpg", "Обложка")</f>
        <v>Обложка</v>
      </c>
      <c r="V281" s="27" t="str">
        <f>HYPERLINK("https://znanium.com/catalog/product/1683179", "Ознакомиться")</f>
        <v>Ознакомиться</v>
      </c>
      <c r="W281" s="8" t="s">
        <v>1849</v>
      </c>
      <c r="X281" s="6"/>
      <c r="Y281" s="6"/>
      <c r="Z281" s="6"/>
      <c r="AA281" s="6" t="s">
        <v>302</v>
      </c>
    </row>
    <row r="282" spans="1:27" s="4" customFormat="1" ht="42" customHeight="1">
      <c r="A282" s="5">
        <v>0</v>
      </c>
      <c r="B282" s="6" t="s">
        <v>1854</v>
      </c>
      <c r="C282" s="13">
        <v>94.9</v>
      </c>
      <c r="D282" s="8" t="s">
        <v>1855</v>
      </c>
      <c r="E282" s="8" t="s">
        <v>1818</v>
      </c>
      <c r="F282" s="8" t="s">
        <v>1856</v>
      </c>
      <c r="G282" s="6" t="s">
        <v>53</v>
      </c>
      <c r="H282" s="6" t="s">
        <v>608</v>
      </c>
      <c r="I282" s="8" t="s">
        <v>1857</v>
      </c>
      <c r="J282" s="9">
        <v>1</v>
      </c>
      <c r="K282" s="9">
        <v>106</v>
      </c>
      <c r="L282" s="9">
        <v>2018</v>
      </c>
      <c r="M282" s="8" t="s">
        <v>1858</v>
      </c>
      <c r="N282" s="8" t="s">
        <v>41</v>
      </c>
      <c r="O282" s="8" t="s">
        <v>42</v>
      </c>
      <c r="P282" s="6" t="s">
        <v>1859</v>
      </c>
      <c r="Q282" s="8" t="s">
        <v>89</v>
      </c>
      <c r="R282" s="10" t="s">
        <v>1783</v>
      </c>
      <c r="S282" s="11"/>
      <c r="T282" s="6"/>
      <c r="U282" s="27" t="str">
        <f>HYPERLINK("https://media.infra-m.ru/0939/0939066/cover/939066.jpg", "Обложка")</f>
        <v>Обложка</v>
      </c>
      <c r="V282" s="27" t="str">
        <f>HYPERLINK("https://znanium.com/catalog/product/939066", "Ознакомиться")</f>
        <v>Ознакомиться</v>
      </c>
      <c r="W282" s="8"/>
      <c r="X282" s="6"/>
      <c r="Y282" s="6"/>
      <c r="Z282" s="6"/>
      <c r="AA282" s="6" t="s">
        <v>550</v>
      </c>
    </row>
    <row r="283" spans="1:27" s="4" customFormat="1" ht="51.95" customHeight="1">
      <c r="A283" s="5">
        <v>0</v>
      </c>
      <c r="B283" s="6" t="s">
        <v>1860</v>
      </c>
      <c r="C283" s="7">
        <v>1274.9000000000001</v>
      </c>
      <c r="D283" s="8" t="s">
        <v>1861</v>
      </c>
      <c r="E283" s="8" t="s">
        <v>1862</v>
      </c>
      <c r="F283" s="8" t="s">
        <v>1863</v>
      </c>
      <c r="G283" s="6" t="s">
        <v>165</v>
      </c>
      <c r="H283" s="6" t="s">
        <v>38</v>
      </c>
      <c r="I283" s="8" t="s">
        <v>173</v>
      </c>
      <c r="J283" s="9">
        <v>1</v>
      </c>
      <c r="K283" s="9">
        <v>283</v>
      </c>
      <c r="L283" s="9">
        <v>2023</v>
      </c>
      <c r="M283" s="8" t="s">
        <v>1864</v>
      </c>
      <c r="N283" s="8" t="s">
        <v>41</v>
      </c>
      <c r="O283" s="8" t="s">
        <v>42</v>
      </c>
      <c r="P283" s="6" t="s">
        <v>77</v>
      </c>
      <c r="Q283" s="8" t="s">
        <v>89</v>
      </c>
      <c r="R283" s="10" t="s">
        <v>766</v>
      </c>
      <c r="S283" s="11" t="s">
        <v>1865</v>
      </c>
      <c r="T283" s="6" t="s">
        <v>46</v>
      </c>
      <c r="U283" s="27" t="str">
        <f>HYPERLINK("https://media.infra-m.ru/1913/1913690/cover/1913690.jpg", "Обложка")</f>
        <v>Обложка</v>
      </c>
      <c r="V283" s="27" t="str">
        <f>HYPERLINK("https://znanium.com/catalog/product/1839699", "Ознакомиться")</f>
        <v>Ознакомиться</v>
      </c>
      <c r="W283" s="8" t="s">
        <v>1866</v>
      </c>
      <c r="X283" s="6"/>
      <c r="Y283" s="6"/>
      <c r="Z283" s="6"/>
      <c r="AA283" s="6" t="s">
        <v>109</v>
      </c>
    </row>
    <row r="284" spans="1:27" s="4" customFormat="1" ht="51.95" customHeight="1">
      <c r="A284" s="5">
        <v>0</v>
      </c>
      <c r="B284" s="6" t="s">
        <v>1867</v>
      </c>
      <c r="C284" s="7">
        <v>1700</v>
      </c>
      <c r="D284" s="8" t="s">
        <v>1868</v>
      </c>
      <c r="E284" s="8" t="s">
        <v>1869</v>
      </c>
      <c r="F284" s="8" t="s">
        <v>247</v>
      </c>
      <c r="G284" s="6" t="s">
        <v>37</v>
      </c>
      <c r="H284" s="6" t="s">
        <v>1414</v>
      </c>
      <c r="I284" s="8"/>
      <c r="J284" s="9">
        <v>1</v>
      </c>
      <c r="K284" s="9">
        <v>368</v>
      </c>
      <c r="L284" s="9">
        <v>2023</v>
      </c>
      <c r="M284" s="8" t="s">
        <v>1870</v>
      </c>
      <c r="N284" s="8" t="s">
        <v>41</v>
      </c>
      <c r="O284" s="8" t="s">
        <v>42</v>
      </c>
      <c r="P284" s="6" t="s">
        <v>77</v>
      </c>
      <c r="Q284" s="8" t="s">
        <v>89</v>
      </c>
      <c r="R284" s="10" t="s">
        <v>1871</v>
      </c>
      <c r="S284" s="11"/>
      <c r="T284" s="6"/>
      <c r="U284" s="27" t="str">
        <f>HYPERLINK("https://media.infra-m.ru/1940/1940912/cover/1940912.jpg", "Обложка")</f>
        <v>Обложка</v>
      </c>
      <c r="V284" s="27" t="str">
        <f>HYPERLINK("https://znanium.com/catalog/product/1027010", "Ознакомиться")</f>
        <v>Ознакомиться</v>
      </c>
      <c r="W284" s="8" t="s">
        <v>243</v>
      </c>
      <c r="X284" s="6"/>
      <c r="Y284" s="6"/>
      <c r="Z284" s="6"/>
      <c r="AA284" s="6" t="s">
        <v>250</v>
      </c>
    </row>
    <row r="285" spans="1:27" s="4" customFormat="1" ht="44.1" customHeight="1">
      <c r="A285" s="5">
        <v>0</v>
      </c>
      <c r="B285" s="6" t="s">
        <v>1872</v>
      </c>
      <c r="C285" s="13">
        <v>480</v>
      </c>
      <c r="D285" s="8" t="s">
        <v>1873</v>
      </c>
      <c r="E285" s="8" t="s">
        <v>1874</v>
      </c>
      <c r="F285" s="8" t="s">
        <v>1875</v>
      </c>
      <c r="G285" s="6" t="s">
        <v>53</v>
      </c>
      <c r="H285" s="6" t="s">
        <v>608</v>
      </c>
      <c r="I285" s="8" t="s">
        <v>1876</v>
      </c>
      <c r="J285" s="9">
        <v>1</v>
      </c>
      <c r="K285" s="9">
        <v>90</v>
      </c>
      <c r="L285" s="9">
        <v>2020</v>
      </c>
      <c r="M285" s="8" t="s">
        <v>1877</v>
      </c>
      <c r="N285" s="8" t="s">
        <v>41</v>
      </c>
      <c r="O285" s="8" t="s">
        <v>42</v>
      </c>
      <c r="P285" s="6" t="s">
        <v>185</v>
      </c>
      <c r="Q285" s="8" t="s">
        <v>89</v>
      </c>
      <c r="R285" s="10" t="s">
        <v>1878</v>
      </c>
      <c r="S285" s="11"/>
      <c r="T285" s="6"/>
      <c r="U285" s="27" t="str">
        <f>HYPERLINK("https://media.infra-m.ru/1946/1946495/cover/1946495.jpg", "Обложка")</f>
        <v>Обложка</v>
      </c>
      <c r="V285" s="27" t="str">
        <f>HYPERLINK("https://znanium.com/catalog/product/1920425", "Ознакомиться")</f>
        <v>Ознакомиться</v>
      </c>
      <c r="W285" s="8" t="s">
        <v>1879</v>
      </c>
      <c r="X285" s="6"/>
      <c r="Y285" s="6"/>
      <c r="Z285" s="6"/>
      <c r="AA285" s="6" t="s">
        <v>83</v>
      </c>
    </row>
    <row r="286" spans="1:27" s="4" customFormat="1" ht="51.95" customHeight="1">
      <c r="A286" s="5">
        <v>0</v>
      </c>
      <c r="B286" s="6" t="s">
        <v>1880</v>
      </c>
      <c r="C286" s="7">
        <v>2044</v>
      </c>
      <c r="D286" s="8" t="s">
        <v>1881</v>
      </c>
      <c r="E286" s="8" t="s">
        <v>1882</v>
      </c>
      <c r="F286" s="8" t="s">
        <v>1883</v>
      </c>
      <c r="G286" s="6" t="s">
        <v>165</v>
      </c>
      <c r="H286" s="6" t="s">
        <v>87</v>
      </c>
      <c r="I286" s="8" t="s">
        <v>173</v>
      </c>
      <c r="J286" s="9">
        <v>1</v>
      </c>
      <c r="K286" s="9">
        <v>496</v>
      </c>
      <c r="L286" s="9">
        <v>2024</v>
      </c>
      <c r="M286" s="8" t="s">
        <v>1884</v>
      </c>
      <c r="N286" s="8" t="s">
        <v>41</v>
      </c>
      <c r="O286" s="8" t="s">
        <v>42</v>
      </c>
      <c r="P286" s="6" t="s">
        <v>77</v>
      </c>
      <c r="Q286" s="8" t="s">
        <v>89</v>
      </c>
      <c r="R286" s="10" t="s">
        <v>1568</v>
      </c>
      <c r="S286" s="11" t="s">
        <v>1885</v>
      </c>
      <c r="T286" s="6"/>
      <c r="U286" s="27" t="str">
        <f>HYPERLINK("https://media.infra-m.ru/2089/2089365/cover/2089365.jpg", "Обложка")</f>
        <v>Обложка</v>
      </c>
      <c r="V286" s="12"/>
      <c r="W286" s="8" t="s">
        <v>1886</v>
      </c>
      <c r="X286" s="6"/>
      <c r="Y286" s="6"/>
      <c r="Z286" s="6"/>
      <c r="AA286" s="6" t="s">
        <v>101</v>
      </c>
    </row>
    <row r="287" spans="1:27" s="4" customFormat="1" ht="51.95" customHeight="1">
      <c r="A287" s="5">
        <v>0</v>
      </c>
      <c r="B287" s="6" t="s">
        <v>1887</v>
      </c>
      <c r="C287" s="13">
        <v>950</v>
      </c>
      <c r="D287" s="8" t="s">
        <v>1888</v>
      </c>
      <c r="E287" s="8" t="s">
        <v>1889</v>
      </c>
      <c r="F287" s="8" t="s">
        <v>1890</v>
      </c>
      <c r="G287" s="6" t="s">
        <v>53</v>
      </c>
      <c r="H287" s="6" t="s">
        <v>38</v>
      </c>
      <c r="I287" s="8" t="s">
        <v>54</v>
      </c>
      <c r="J287" s="9">
        <v>1</v>
      </c>
      <c r="K287" s="9">
        <v>205</v>
      </c>
      <c r="L287" s="9">
        <v>2024</v>
      </c>
      <c r="M287" s="8" t="s">
        <v>1891</v>
      </c>
      <c r="N287" s="8" t="s">
        <v>41</v>
      </c>
      <c r="O287" s="8" t="s">
        <v>42</v>
      </c>
      <c r="P287" s="6" t="s">
        <v>58</v>
      </c>
      <c r="Q287" s="8" t="s">
        <v>44</v>
      </c>
      <c r="R287" s="10" t="s">
        <v>766</v>
      </c>
      <c r="S287" s="11"/>
      <c r="T287" s="6"/>
      <c r="U287" s="27" t="str">
        <f>HYPERLINK("https://media.infra-m.ru/2074/2074346/cover/2074346.jpg", "Обложка")</f>
        <v>Обложка</v>
      </c>
      <c r="V287" s="27" t="str">
        <f>HYPERLINK("https://znanium.com/catalog/product/2074346", "Ознакомиться")</f>
        <v>Ознакомиться</v>
      </c>
      <c r="W287" s="8" t="s">
        <v>1479</v>
      </c>
      <c r="X287" s="6"/>
      <c r="Y287" s="6"/>
      <c r="Z287" s="6"/>
      <c r="AA287" s="6" t="s">
        <v>83</v>
      </c>
    </row>
    <row r="288" spans="1:27" s="4" customFormat="1" ht="51.95" customHeight="1">
      <c r="A288" s="5">
        <v>0</v>
      </c>
      <c r="B288" s="6" t="s">
        <v>1892</v>
      </c>
      <c r="C288" s="7">
        <v>1800</v>
      </c>
      <c r="D288" s="8" t="s">
        <v>1893</v>
      </c>
      <c r="E288" s="8" t="s">
        <v>1894</v>
      </c>
      <c r="F288" s="8" t="s">
        <v>1895</v>
      </c>
      <c r="G288" s="6" t="s">
        <v>165</v>
      </c>
      <c r="H288" s="6" t="s">
        <v>38</v>
      </c>
      <c r="I288" s="8" t="s">
        <v>173</v>
      </c>
      <c r="J288" s="9">
        <v>1</v>
      </c>
      <c r="K288" s="9">
        <v>403</v>
      </c>
      <c r="L288" s="9">
        <v>2023</v>
      </c>
      <c r="M288" s="8" t="s">
        <v>1896</v>
      </c>
      <c r="N288" s="8" t="s">
        <v>41</v>
      </c>
      <c r="O288" s="8" t="s">
        <v>42</v>
      </c>
      <c r="P288" s="6" t="s">
        <v>150</v>
      </c>
      <c r="Q288" s="8" t="s">
        <v>89</v>
      </c>
      <c r="R288" s="10" t="s">
        <v>1897</v>
      </c>
      <c r="S288" s="11" t="s">
        <v>1898</v>
      </c>
      <c r="T288" s="6"/>
      <c r="U288" s="27" t="str">
        <f>HYPERLINK("https://media.infra-m.ru/1895/1895919/cover/1895919.jpg", "Обложка")</f>
        <v>Обложка</v>
      </c>
      <c r="V288" s="27" t="str">
        <f>HYPERLINK("https://znanium.com/catalog/product/1895919", "Ознакомиться")</f>
        <v>Ознакомиться</v>
      </c>
      <c r="W288" s="8"/>
      <c r="X288" s="6"/>
      <c r="Y288" s="6"/>
      <c r="Z288" s="6"/>
      <c r="AA288" s="6" t="s">
        <v>48</v>
      </c>
    </row>
    <row r="289" spans="1:27" s="4" customFormat="1" ht="42" customHeight="1">
      <c r="A289" s="5">
        <v>0</v>
      </c>
      <c r="B289" s="6" t="s">
        <v>1899</v>
      </c>
      <c r="C289" s="13">
        <v>990</v>
      </c>
      <c r="D289" s="8" t="s">
        <v>1900</v>
      </c>
      <c r="E289" s="8" t="s">
        <v>1901</v>
      </c>
      <c r="F289" s="8" t="s">
        <v>1902</v>
      </c>
      <c r="G289" s="6" t="s">
        <v>165</v>
      </c>
      <c r="H289" s="6" t="s">
        <v>38</v>
      </c>
      <c r="I289" s="8" t="s">
        <v>54</v>
      </c>
      <c r="J289" s="9">
        <v>1</v>
      </c>
      <c r="K289" s="9">
        <v>215</v>
      </c>
      <c r="L289" s="9">
        <v>2023</v>
      </c>
      <c r="M289" s="8" t="s">
        <v>1903</v>
      </c>
      <c r="N289" s="8" t="s">
        <v>41</v>
      </c>
      <c r="O289" s="8" t="s">
        <v>42</v>
      </c>
      <c r="P289" s="6" t="s">
        <v>58</v>
      </c>
      <c r="Q289" s="8" t="s">
        <v>44</v>
      </c>
      <c r="R289" s="10" t="s">
        <v>378</v>
      </c>
      <c r="S289" s="11"/>
      <c r="T289" s="6"/>
      <c r="U289" s="27" t="str">
        <f>HYPERLINK("https://media.infra-m.ru/1938/1938061/cover/1938061.jpg", "Обложка")</f>
        <v>Обложка</v>
      </c>
      <c r="V289" s="27" t="str">
        <f>HYPERLINK("https://znanium.com/catalog/product/1938061", "Ознакомиться")</f>
        <v>Ознакомиться</v>
      </c>
      <c r="W289" s="8" t="s">
        <v>1904</v>
      </c>
      <c r="X289" s="6" t="s">
        <v>1670</v>
      </c>
      <c r="Y289" s="6"/>
      <c r="Z289" s="6"/>
      <c r="AA289" s="6" t="s">
        <v>61</v>
      </c>
    </row>
    <row r="290" spans="1:27" s="4" customFormat="1" ht="51.95" customHeight="1">
      <c r="A290" s="5">
        <v>0</v>
      </c>
      <c r="B290" s="6" t="s">
        <v>1905</v>
      </c>
      <c r="C290" s="7">
        <v>1000</v>
      </c>
      <c r="D290" s="8" t="s">
        <v>1906</v>
      </c>
      <c r="E290" s="8" t="s">
        <v>1907</v>
      </c>
      <c r="F290" s="8" t="s">
        <v>1908</v>
      </c>
      <c r="G290" s="6" t="s">
        <v>37</v>
      </c>
      <c r="H290" s="6" t="s">
        <v>38</v>
      </c>
      <c r="I290" s="8" t="s">
        <v>937</v>
      </c>
      <c r="J290" s="9">
        <v>1</v>
      </c>
      <c r="K290" s="9">
        <v>224</v>
      </c>
      <c r="L290" s="9">
        <v>2023</v>
      </c>
      <c r="M290" s="8" t="s">
        <v>1909</v>
      </c>
      <c r="N290" s="8" t="s">
        <v>41</v>
      </c>
      <c r="O290" s="8" t="s">
        <v>42</v>
      </c>
      <c r="P290" s="6" t="s">
        <v>939</v>
      </c>
      <c r="Q290" s="8" t="s">
        <v>44</v>
      </c>
      <c r="R290" s="10" t="s">
        <v>522</v>
      </c>
      <c r="S290" s="11"/>
      <c r="T290" s="6"/>
      <c r="U290" s="27" t="str">
        <f>HYPERLINK("https://media.infra-m.ru/1919/1919472/cover/1919472.jpg", "Обложка")</f>
        <v>Обложка</v>
      </c>
      <c r="V290" s="27" t="str">
        <f>HYPERLINK("https://znanium.com/catalog/product/1919472", "Ознакомиться")</f>
        <v>Ознакомиться</v>
      </c>
      <c r="W290" s="8" t="s">
        <v>116</v>
      </c>
      <c r="X290" s="6"/>
      <c r="Y290" s="6"/>
      <c r="Z290" s="6"/>
      <c r="AA290" s="6" t="s">
        <v>109</v>
      </c>
    </row>
    <row r="291" spans="1:27" s="4" customFormat="1" ht="42" customHeight="1">
      <c r="A291" s="5">
        <v>0</v>
      </c>
      <c r="B291" s="6" t="s">
        <v>1910</v>
      </c>
      <c r="C291" s="13">
        <v>680</v>
      </c>
      <c r="D291" s="8" t="s">
        <v>1911</v>
      </c>
      <c r="E291" s="8" t="s">
        <v>1912</v>
      </c>
      <c r="F291" s="8" t="s">
        <v>1913</v>
      </c>
      <c r="G291" s="6" t="s">
        <v>37</v>
      </c>
      <c r="H291" s="6" t="s">
        <v>38</v>
      </c>
      <c r="I291" s="8" t="s">
        <v>39</v>
      </c>
      <c r="J291" s="9">
        <v>1</v>
      </c>
      <c r="K291" s="9">
        <v>146</v>
      </c>
      <c r="L291" s="9">
        <v>2024</v>
      </c>
      <c r="M291" s="8" t="s">
        <v>1914</v>
      </c>
      <c r="N291" s="8" t="s">
        <v>41</v>
      </c>
      <c r="O291" s="8" t="s">
        <v>42</v>
      </c>
      <c r="P291" s="6" t="s">
        <v>185</v>
      </c>
      <c r="Q291" s="8" t="s">
        <v>89</v>
      </c>
      <c r="R291" s="10" t="s">
        <v>1253</v>
      </c>
      <c r="S291" s="11"/>
      <c r="T291" s="6"/>
      <c r="U291" s="27" t="str">
        <f>HYPERLINK("https://media.infra-m.ru/2083/2083429/cover/2083429.jpg", "Обложка")</f>
        <v>Обложка</v>
      </c>
      <c r="V291" s="27" t="str">
        <f>HYPERLINK("https://znanium.com/catalog/product/2083429", "Ознакомиться")</f>
        <v>Ознакомиться</v>
      </c>
      <c r="W291" s="8" t="s">
        <v>562</v>
      </c>
      <c r="X291" s="6"/>
      <c r="Y291" s="6"/>
      <c r="Z291" s="6"/>
      <c r="AA291" s="6" t="s">
        <v>70</v>
      </c>
    </row>
    <row r="292" spans="1:27" s="4" customFormat="1" ht="51.95" customHeight="1">
      <c r="A292" s="5">
        <v>0</v>
      </c>
      <c r="B292" s="6" t="s">
        <v>1915</v>
      </c>
      <c r="C292" s="13">
        <v>730</v>
      </c>
      <c r="D292" s="8" t="s">
        <v>1916</v>
      </c>
      <c r="E292" s="8" t="s">
        <v>1917</v>
      </c>
      <c r="F292" s="8" t="s">
        <v>1918</v>
      </c>
      <c r="G292" s="6" t="s">
        <v>53</v>
      </c>
      <c r="H292" s="6" t="s">
        <v>38</v>
      </c>
      <c r="I292" s="8" t="s">
        <v>54</v>
      </c>
      <c r="J292" s="9">
        <v>1</v>
      </c>
      <c r="K292" s="9">
        <v>157</v>
      </c>
      <c r="L292" s="9">
        <v>2024</v>
      </c>
      <c r="M292" s="8" t="s">
        <v>1919</v>
      </c>
      <c r="N292" s="8" t="s">
        <v>41</v>
      </c>
      <c r="O292" s="8" t="s">
        <v>42</v>
      </c>
      <c r="P292" s="6" t="s">
        <v>58</v>
      </c>
      <c r="Q292" s="8" t="s">
        <v>44</v>
      </c>
      <c r="R292" s="10" t="s">
        <v>1920</v>
      </c>
      <c r="S292" s="11"/>
      <c r="T292" s="6"/>
      <c r="U292" s="27" t="str">
        <f>HYPERLINK("https://media.infra-m.ru/2100/2100994/cover/2100994.jpg", "Обложка")</f>
        <v>Обложка</v>
      </c>
      <c r="V292" s="27" t="str">
        <f>HYPERLINK("https://znanium.com/catalog/product/2100994", "Ознакомиться")</f>
        <v>Ознакомиться</v>
      </c>
      <c r="W292" s="8" t="s">
        <v>154</v>
      </c>
      <c r="X292" s="6"/>
      <c r="Y292" s="6"/>
      <c r="Z292" s="6"/>
      <c r="AA292" s="6" t="s">
        <v>109</v>
      </c>
    </row>
    <row r="293" spans="1:27" s="4" customFormat="1" ht="44.1" customHeight="1">
      <c r="A293" s="5">
        <v>0</v>
      </c>
      <c r="B293" s="6" t="s">
        <v>1921</v>
      </c>
      <c r="C293" s="13">
        <v>784.9</v>
      </c>
      <c r="D293" s="8" t="s">
        <v>1922</v>
      </c>
      <c r="E293" s="8" t="s">
        <v>1923</v>
      </c>
      <c r="F293" s="8" t="s">
        <v>1924</v>
      </c>
      <c r="G293" s="6" t="s">
        <v>53</v>
      </c>
      <c r="H293" s="6" t="s">
        <v>38</v>
      </c>
      <c r="I293" s="8" t="s">
        <v>54</v>
      </c>
      <c r="J293" s="9">
        <v>1</v>
      </c>
      <c r="K293" s="9">
        <v>174</v>
      </c>
      <c r="L293" s="9">
        <v>2023</v>
      </c>
      <c r="M293" s="8" t="s">
        <v>1925</v>
      </c>
      <c r="N293" s="8" t="s">
        <v>41</v>
      </c>
      <c r="O293" s="8" t="s">
        <v>42</v>
      </c>
      <c r="P293" s="6" t="s">
        <v>58</v>
      </c>
      <c r="Q293" s="8" t="s">
        <v>44</v>
      </c>
      <c r="R293" s="10" t="s">
        <v>1926</v>
      </c>
      <c r="S293" s="11"/>
      <c r="T293" s="6"/>
      <c r="U293" s="27" t="str">
        <f>HYPERLINK("https://media.infra-m.ru/2030/2030901/cover/2030901.jpg", "Обложка")</f>
        <v>Обложка</v>
      </c>
      <c r="V293" s="27" t="str">
        <f>HYPERLINK("https://znanium.com/catalog/product/1008846", "Ознакомиться")</f>
        <v>Ознакомиться</v>
      </c>
      <c r="W293" s="8" t="s">
        <v>759</v>
      </c>
      <c r="X293" s="6"/>
      <c r="Y293" s="6"/>
      <c r="Z293" s="6"/>
      <c r="AA293" s="6" t="s">
        <v>70</v>
      </c>
    </row>
    <row r="294" spans="1:27" s="4" customFormat="1" ht="44.1" customHeight="1">
      <c r="A294" s="5">
        <v>0</v>
      </c>
      <c r="B294" s="6" t="s">
        <v>1927</v>
      </c>
      <c r="C294" s="7">
        <v>1674.9</v>
      </c>
      <c r="D294" s="8" t="s">
        <v>1928</v>
      </c>
      <c r="E294" s="8" t="s">
        <v>1929</v>
      </c>
      <c r="F294" s="8" t="s">
        <v>1930</v>
      </c>
      <c r="G294" s="6" t="s">
        <v>53</v>
      </c>
      <c r="H294" s="6" t="s">
        <v>38</v>
      </c>
      <c r="I294" s="8" t="s">
        <v>54</v>
      </c>
      <c r="J294" s="9">
        <v>1</v>
      </c>
      <c r="K294" s="9">
        <v>372</v>
      </c>
      <c r="L294" s="9">
        <v>2023</v>
      </c>
      <c r="M294" s="8" t="s">
        <v>1931</v>
      </c>
      <c r="N294" s="8" t="s">
        <v>41</v>
      </c>
      <c r="O294" s="8" t="s">
        <v>42</v>
      </c>
      <c r="P294" s="6" t="s">
        <v>58</v>
      </c>
      <c r="Q294" s="8" t="s">
        <v>44</v>
      </c>
      <c r="R294" s="10" t="s">
        <v>1932</v>
      </c>
      <c r="S294" s="11"/>
      <c r="T294" s="6"/>
      <c r="U294" s="27" t="str">
        <f>HYPERLINK("https://media.infra-m.ru/2006/2006909/cover/2006909.jpg", "Обложка")</f>
        <v>Обложка</v>
      </c>
      <c r="V294" s="27" t="str">
        <f>HYPERLINK("https://znanium.com/catalog/product/1007072", "Ознакомиться")</f>
        <v>Ознакомиться</v>
      </c>
      <c r="W294" s="8" t="s">
        <v>1167</v>
      </c>
      <c r="X294" s="6"/>
      <c r="Y294" s="6"/>
      <c r="Z294" s="6"/>
      <c r="AA294" s="6" t="s">
        <v>136</v>
      </c>
    </row>
    <row r="295" spans="1:27" s="4" customFormat="1" ht="51.95" customHeight="1">
      <c r="A295" s="5">
        <v>0</v>
      </c>
      <c r="B295" s="6" t="s">
        <v>1933</v>
      </c>
      <c r="C295" s="7">
        <v>1220</v>
      </c>
      <c r="D295" s="8" t="s">
        <v>1934</v>
      </c>
      <c r="E295" s="8" t="s">
        <v>1935</v>
      </c>
      <c r="F295" s="8" t="s">
        <v>1936</v>
      </c>
      <c r="G295" s="6" t="s">
        <v>37</v>
      </c>
      <c r="H295" s="6" t="s">
        <v>87</v>
      </c>
      <c r="I295" s="8" t="s">
        <v>173</v>
      </c>
      <c r="J295" s="9">
        <v>1</v>
      </c>
      <c r="K295" s="9">
        <v>272</v>
      </c>
      <c r="L295" s="9">
        <v>2023</v>
      </c>
      <c r="M295" s="8" t="s">
        <v>1937</v>
      </c>
      <c r="N295" s="8" t="s">
        <v>56</v>
      </c>
      <c r="O295" s="8" t="s">
        <v>57</v>
      </c>
      <c r="P295" s="6" t="s">
        <v>185</v>
      </c>
      <c r="Q295" s="8" t="s">
        <v>89</v>
      </c>
      <c r="R295" s="10" t="s">
        <v>1050</v>
      </c>
      <c r="S295" s="11" t="s">
        <v>534</v>
      </c>
      <c r="T295" s="6"/>
      <c r="U295" s="27" t="str">
        <f>HYPERLINK("https://media.infra-m.ru/1913/1913013/cover/1913013.jpg", "Обложка")</f>
        <v>Обложка</v>
      </c>
      <c r="V295" s="27" t="str">
        <f>HYPERLINK("https://znanium.com/catalog/product/1913013", "Ознакомиться")</f>
        <v>Ознакомиться</v>
      </c>
      <c r="W295" s="8" t="s">
        <v>1938</v>
      </c>
      <c r="X295" s="6"/>
      <c r="Y295" s="6"/>
      <c r="Z295" s="6"/>
      <c r="AA295" s="6" t="s">
        <v>208</v>
      </c>
    </row>
    <row r="296" spans="1:27" s="4" customFormat="1" ht="51.95" customHeight="1">
      <c r="A296" s="5">
        <v>0</v>
      </c>
      <c r="B296" s="6" t="s">
        <v>1939</v>
      </c>
      <c r="C296" s="7">
        <v>1824</v>
      </c>
      <c r="D296" s="8" t="s">
        <v>1940</v>
      </c>
      <c r="E296" s="8" t="s">
        <v>1941</v>
      </c>
      <c r="F296" s="8" t="s">
        <v>1942</v>
      </c>
      <c r="G296" s="6" t="s">
        <v>53</v>
      </c>
      <c r="H296" s="6" t="s">
        <v>38</v>
      </c>
      <c r="I296" s="8" t="s">
        <v>54</v>
      </c>
      <c r="J296" s="9">
        <v>1</v>
      </c>
      <c r="K296" s="9">
        <v>403</v>
      </c>
      <c r="L296" s="9">
        <v>2023</v>
      </c>
      <c r="M296" s="8" t="s">
        <v>1943</v>
      </c>
      <c r="N296" s="8" t="s">
        <v>41</v>
      </c>
      <c r="O296" s="8" t="s">
        <v>42</v>
      </c>
      <c r="P296" s="6" t="s">
        <v>58</v>
      </c>
      <c r="Q296" s="8" t="s">
        <v>44</v>
      </c>
      <c r="R296" s="10" t="s">
        <v>1944</v>
      </c>
      <c r="S296" s="11"/>
      <c r="T296" s="6"/>
      <c r="U296" s="27" t="str">
        <f>HYPERLINK("https://media.infra-m.ru/2021/2021411/cover/2021411.jpg", "Обложка")</f>
        <v>Обложка</v>
      </c>
      <c r="V296" s="27" t="str">
        <f>HYPERLINK("https://znanium.com/catalog/product/1031176", "Ознакомиться")</f>
        <v>Ознакомиться</v>
      </c>
      <c r="W296" s="8" t="s">
        <v>1945</v>
      </c>
      <c r="X296" s="6"/>
      <c r="Y296" s="6"/>
      <c r="Z296" s="6"/>
      <c r="AA296" s="6" t="s">
        <v>136</v>
      </c>
    </row>
    <row r="297" spans="1:27" s="4" customFormat="1" ht="44.1" customHeight="1">
      <c r="A297" s="5">
        <v>0</v>
      </c>
      <c r="B297" s="6" t="s">
        <v>1946</v>
      </c>
      <c r="C297" s="13">
        <v>994.9</v>
      </c>
      <c r="D297" s="8" t="s">
        <v>1947</v>
      </c>
      <c r="E297" s="8" t="s">
        <v>1948</v>
      </c>
      <c r="F297" s="8" t="s">
        <v>1949</v>
      </c>
      <c r="G297" s="6" t="s">
        <v>53</v>
      </c>
      <c r="H297" s="6" t="s">
        <v>38</v>
      </c>
      <c r="I297" s="8" t="s">
        <v>54</v>
      </c>
      <c r="J297" s="9">
        <v>1</v>
      </c>
      <c r="K297" s="9">
        <v>212</v>
      </c>
      <c r="L297" s="9">
        <v>2023</v>
      </c>
      <c r="M297" s="8" t="s">
        <v>1950</v>
      </c>
      <c r="N297" s="8" t="s">
        <v>41</v>
      </c>
      <c r="O297" s="8" t="s">
        <v>42</v>
      </c>
      <c r="P297" s="6" t="s">
        <v>58</v>
      </c>
      <c r="Q297" s="8" t="s">
        <v>44</v>
      </c>
      <c r="R297" s="10" t="s">
        <v>1260</v>
      </c>
      <c r="S297" s="11"/>
      <c r="T297" s="6"/>
      <c r="U297" s="27" t="str">
        <f>HYPERLINK("https://media.infra-m.ru/1915/1915662/cover/1915662.jpg", "Обложка")</f>
        <v>Обложка</v>
      </c>
      <c r="V297" s="27" t="str">
        <f>HYPERLINK("https://znanium.com/catalog/product/1876368", "Ознакомиться")</f>
        <v>Ознакомиться</v>
      </c>
      <c r="W297" s="8" t="s">
        <v>262</v>
      </c>
      <c r="X297" s="6"/>
      <c r="Y297" s="6"/>
      <c r="Z297" s="6"/>
      <c r="AA297" s="6" t="s">
        <v>61</v>
      </c>
    </row>
    <row r="298" spans="1:27" s="4" customFormat="1" ht="51.95" customHeight="1">
      <c r="A298" s="5">
        <v>0</v>
      </c>
      <c r="B298" s="6" t="s">
        <v>1951</v>
      </c>
      <c r="C298" s="13">
        <v>724.9</v>
      </c>
      <c r="D298" s="8" t="s">
        <v>1952</v>
      </c>
      <c r="E298" s="8" t="s">
        <v>1953</v>
      </c>
      <c r="F298" s="8" t="s">
        <v>1954</v>
      </c>
      <c r="G298" s="6" t="s">
        <v>53</v>
      </c>
      <c r="H298" s="6" t="s">
        <v>87</v>
      </c>
      <c r="I298" s="8" t="s">
        <v>173</v>
      </c>
      <c r="J298" s="9">
        <v>1</v>
      </c>
      <c r="K298" s="9">
        <v>160</v>
      </c>
      <c r="L298" s="9">
        <v>2023</v>
      </c>
      <c r="M298" s="8" t="s">
        <v>1955</v>
      </c>
      <c r="N298" s="8" t="s">
        <v>41</v>
      </c>
      <c r="O298" s="8" t="s">
        <v>42</v>
      </c>
      <c r="P298" s="6" t="s">
        <v>185</v>
      </c>
      <c r="Q298" s="8" t="s">
        <v>89</v>
      </c>
      <c r="R298" s="10" t="s">
        <v>1956</v>
      </c>
      <c r="S298" s="11" t="s">
        <v>1957</v>
      </c>
      <c r="T298" s="6"/>
      <c r="U298" s="27" t="str">
        <f>HYPERLINK("https://media.infra-m.ru/1929/1929150/cover/1929150.jpg", "Обложка")</f>
        <v>Обложка</v>
      </c>
      <c r="V298" s="27" t="str">
        <f>HYPERLINK("https://znanium.com/catalog/product/1680146", "Ознакомиться")</f>
        <v>Ознакомиться</v>
      </c>
      <c r="W298" s="8" t="s">
        <v>444</v>
      </c>
      <c r="X298" s="6"/>
      <c r="Y298" s="6"/>
      <c r="Z298" s="6"/>
      <c r="AA298" s="6" t="s">
        <v>109</v>
      </c>
    </row>
    <row r="299" spans="1:27" s="4" customFormat="1" ht="51.95" customHeight="1">
      <c r="A299" s="5">
        <v>0</v>
      </c>
      <c r="B299" s="6" t="s">
        <v>1958</v>
      </c>
      <c r="C299" s="13">
        <v>740</v>
      </c>
      <c r="D299" s="8" t="s">
        <v>1959</v>
      </c>
      <c r="E299" s="8" t="s">
        <v>1953</v>
      </c>
      <c r="F299" s="8" t="s">
        <v>1954</v>
      </c>
      <c r="G299" s="6" t="s">
        <v>37</v>
      </c>
      <c r="H299" s="6" t="s">
        <v>87</v>
      </c>
      <c r="I299" s="8" t="s">
        <v>75</v>
      </c>
      <c r="J299" s="9">
        <v>1</v>
      </c>
      <c r="K299" s="9">
        <v>160</v>
      </c>
      <c r="L299" s="9">
        <v>2024</v>
      </c>
      <c r="M299" s="8" t="s">
        <v>1960</v>
      </c>
      <c r="N299" s="8" t="s">
        <v>41</v>
      </c>
      <c r="O299" s="8" t="s">
        <v>42</v>
      </c>
      <c r="P299" s="6" t="s">
        <v>185</v>
      </c>
      <c r="Q299" s="8" t="s">
        <v>78</v>
      </c>
      <c r="R299" s="10" t="s">
        <v>1013</v>
      </c>
      <c r="S299" s="11" t="s">
        <v>1961</v>
      </c>
      <c r="T299" s="6"/>
      <c r="U299" s="27" t="str">
        <f>HYPERLINK("https://media.infra-m.ru/2078/2078396/cover/2078396.jpg", "Обложка")</f>
        <v>Обложка</v>
      </c>
      <c r="V299" s="27" t="str">
        <f>HYPERLINK("https://znanium.com/catalog/product/2078396", "Ознакомиться")</f>
        <v>Ознакомиться</v>
      </c>
      <c r="W299" s="8" t="s">
        <v>444</v>
      </c>
      <c r="X299" s="6"/>
      <c r="Y299" s="6"/>
      <c r="Z299" s="6" t="s">
        <v>82</v>
      </c>
      <c r="AA299" s="6" t="s">
        <v>136</v>
      </c>
    </row>
    <row r="300" spans="1:27" s="4" customFormat="1" ht="42" customHeight="1">
      <c r="A300" s="5">
        <v>0</v>
      </c>
      <c r="B300" s="6" t="s">
        <v>1962</v>
      </c>
      <c r="C300" s="13">
        <v>550</v>
      </c>
      <c r="D300" s="8" t="s">
        <v>1963</v>
      </c>
      <c r="E300" s="8" t="s">
        <v>1964</v>
      </c>
      <c r="F300" s="8" t="s">
        <v>1965</v>
      </c>
      <c r="G300" s="6" t="s">
        <v>53</v>
      </c>
      <c r="H300" s="6" t="s">
        <v>38</v>
      </c>
      <c r="I300" s="8" t="s">
        <v>54</v>
      </c>
      <c r="J300" s="9">
        <v>1</v>
      </c>
      <c r="K300" s="9">
        <v>140</v>
      </c>
      <c r="L300" s="9">
        <v>2022</v>
      </c>
      <c r="M300" s="8" t="s">
        <v>1966</v>
      </c>
      <c r="N300" s="8" t="s">
        <v>41</v>
      </c>
      <c r="O300" s="8" t="s">
        <v>42</v>
      </c>
      <c r="P300" s="6" t="s">
        <v>58</v>
      </c>
      <c r="Q300" s="8" t="s">
        <v>44</v>
      </c>
      <c r="R300" s="10" t="s">
        <v>1967</v>
      </c>
      <c r="S300" s="11"/>
      <c r="T300" s="6"/>
      <c r="U300" s="27" t="str">
        <f>HYPERLINK("https://media.infra-m.ru/1850/1850138/cover/1850138.jpg", "Обложка")</f>
        <v>Обложка</v>
      </c>
      <c r="V300" s="27" t="str">
        <f>HYPERLINK("https://znanium.com/catalog/product/1850138", "Ознакомиться")</f>
        <v>Ознакомиться</v>
      </c>
      <c r="W300" s="8" t="s">
        <v>154</v>
      </c>
      <c r="X300" s="6"/>
      <c r="Y300" s="6"/>
      <c r="Z300" s="6"/>
      <c r="AA300" s="6" t="s">
        <v>189</v>
      </c>
    </row>
    <row r="301" spans="1:27" s="4" customFormat="1" ht="42" customHeight="1">
      <c r="A301" s="5">
        <v>0</v>
      </c>
      <c r="B301" s="6" t="s">
        <v>1968</v>
      </c>
      <c r="C301" s="13">
        <v>440</v>
      </c>
      <c r="D301" s="8" t="s">
        <v>1969</v>
      </c>
      <c r="E301" s="8" t="s">
        <v>1970</v>
      </c>
      <c r="F301" s="8" t="s">
        <v>1965</v>
      </c>
      <c r="G301" s="6" t="s">
        <v>53</v>
      </c>
      <c r="H301" s="6" t="s">
        <v>38</v>
      </c>
      <c r="I301" s="8" t="s">
        <v>54</v>
      </c>
      <c r="J301" s="9">
        <v>1</v>
      </c>
      <c r="K301" s="9">
        <v>140</v>
      </c>
      <c r="L301" s="9">
        <v>2017</v>
      </c>
      <c r="M301" s="8" t="s">
        <v>1971</v>
      </c>
      <c r="N301" s="8" t="s">
        <v>41</v>
      </c>
      <c r="O301" s="8" t="s">
        <v>42</v>
      </c>
      <c r="P301" s="6" t="s">
        <v>58</v>
      </c>
      <c r="Q301" s="8" t="s">
        <v>44</v>
      </c>
      <c r="R301" s="10" t="s">
        <v>1967</v>
      </c>
      <c r="S301" s="11"/>
      <c r="T301" s="6"/>
      <c r="U301" s="27" t="str">
        <f>HYPERLINK("https://media.infra-m.ru/0854/0854334/cover/854334.jpg", "Обложка")</f>
        <v>Обложка</v>
      </c>
      <c r="V301" s="27" t="str">
        <f>HYPERLINK("https://znanium.com/catalog/product/1850138", "Ознакомиться")</f>
        <v>Ознакомиться</v>
      </c>
      <c r="W301" s="8" t="s">
        <v>154</v>
      </c>
      <c r="X301" s="6"/>
      <c r="Y301" s="6"/>
      <c r="Z301" s="6"/>
      <c r="AA301" s="6" t="s">
        <v>109</v>
      </c>
    </row>
    <row r="302" spans="1:27" s="4" customFormat="1" ht="51.95" customHeight="1">
      <c r="A302" s="5">
        <v>0</v>
      </c>
      <c r="B302" s="6" t="s">
        <v>1972</v>
      </c>
      <c r="C302" s="7">
        <v>2170</v>
      </c>
      <c r="D302" s="8" t="s">
        <v>1973</v>
      </c>
      <c r="E302" s="8" t="s">
        <v>1974</v>
      </c>
      <c r="F302" s="8" t="s">
        <v>1975</v>
      </c>
      <c r="G302" s="6" t="s">
        <v>165</v>
      </c>
      <c r="H302" s="6" t="s">
        <v>38</v>
      </c>
      <c r="I302" s="8" t="s">
        <v>183</v>
      </c>
      <c r="J302" s="9">
        <v>1</v>
      </c>
      <c r="K302" s="9">
        <v>471</v>
      </c>
      <c r="L302" s="9">
        <v>2024</v>
      </c>
      <c r="M302" s="8" t="s">
        <v>1976</v>
      </c>
      <c r="N302" s="8" t="s">
        <v>56</v>
      </c>
      <c r="O302" s="8" t="s">
        <v>57</v>
      </c>
      <c r="P302" s="6" t="s">
        <v>77</v>
      </c>
      <c r="Q302" s="8" t="s">
        <v>89</v>
      </c>
      <c r="R302" s="10" t="s">
        <v>1977</v>
      </c>
      <c r="S302" s="11" t="s">
        <v>1978</v>
      </c>
      <c r="T302" s="6"/>
      <c r="U302" s="27" t="str">
        <f>HYPERLINK("https://media.infra-m.ru/2096/2096837/cover/2096837.jpg", "Обложка")</f>
        <v>Обложка</v>
      </c>
      <c r="V302" s="27" t="str">
        <f>HYPERLINK("https://znanium.com/catalog/product/2096837", "Ознакомиться")</f>
        <v>Ознакомиться</v>
      </c>
      <c r="W302" s="8" t="s">
        <v>1979</v>
      </c>
      <c r="X302" s="6"/>
      <c r="Y302" s="6"/>
      <c r="Z302" s="6"/>
      <c r="AA302" s="6" t="s">
        <v>812</v>
      </c>
    </row>
    <row r="303" spans="1:27" s="4" customFormat="1" ht="51.95" customHeight="1">
      <c r="A303" s="5">
        <v>0</v>
      </c>
      <c r="B303" s="6" t="s">
        <v>1980</v>
      </c>
      <c r="C303" s="7">
        <v>1470</v>
      </c>
      <c r="D303" s="8" t="s">
        <v>1981</v>
      </c>
      <c r="E303" s="8" t="s">
        <v>1982</v>
      </c>
      <c r="F303" s="8" t="s">
        <v>1975</v>
      </c>
      <c r="G303" s="6" t="s">
        <v>37</v>
      </c>
      <c r="H303" s="6" t="s">
        <v>38</v>
      </c>
      <c r="I303" s="8" t="s">
        <v>173</v>
      </c>
      <c r="J303" s="9">
        <v>1</v>
      </c>
      <c r="K303" s="9">
        <v>430</v>
      </c>
      <c r="L303" s="9">
        <v>2020</v>
      </c>
      <c r="M303" s="8" t="s">
        <v>1983</v>
      </c>
      <c r="N303" s="8" t="s">
        <v>56</v>
      </c>
      <c r="O303" s="8" t="s">
        <v>57</v>
      </c>
      <c r="P303" s="6" t="s">
        <v>77</v>
      </c>
      <c r="Q303" s="8" t="s">
        <v>89</v>
      </c>
      <c r="R303" s="10" t="s">
        <v>1977</v>
      </c>
      <c r="S303" s="11" t="s">
        <v>1984</v>
      </c>
      <c r="T303" s="6"/>
      <c r="U303" s="27" t="str">
        <f>HYPERLINK("https://media.infra-m.ru/1030/1030680/cover/1030680.jpg", "Обложка")</f>
        <v>Обложка</v>
      </c>
      <c r="V303" s="27" t="str">
        <f>HYPERLINK("https://znanium.com/catalog/product/2096837", "Ознакомиться")</f>
        <v>Ознакомиться</v>
      </c>
      <c r="W303" s="8" t="s">
        <v>1979</v>
      </c>
      <c r="X303" s="6"/>
      <c r="Y303" s="6"/>
      <c r="Z303" s="6"/>
      <c r="AA303" s="6" t="s">
        <v>1539</v>
      </c>
    </row>
    <row r="304" spans="1:27" s="4" customFormat="1" ht="44.1" customHeight="1">
      <c r="A304" s="5">
        <v>0</v>
      </c>
      <c r="B304" s="6" t="s">
        <v>1985</v>
      </c>
      <c r="C304" s="13">
        <v>520</v>
      </c>
      <c r="D304" s="8" t="s">
        <v>1986</v>
      </c>
      <c r="E304" s="8" t="s">
        <v>1987</v>
      </c>
      <c r="F304" s="8" t="s">
        <v>1988</v>
      </c>
      <c r="G304" s="6" t="s">
        <v>53</v>
      </c>
      <c r="H304" s="6" t="s">
        <v>38</v>
      </c>
      <c r="I304" s="8" t="s">
        <v>54</v>
      </c>
      <c r="J304" s="9">
        <v>1</v>
      </c>
      <c r="K304" s="9">
        <v>104</v>
      </c>
      <c r="L304" s="9">
        <v>2024</v>
      </c>
      <c r="M304" s="8" t="s">
        <v>1989</v>
      </c>
      <c r="N304" s="8" t="s">
        <v>41</v>
      </c>
      <c r="O304" s="8" t="s">
        <v>42</v>
      </c>
      <c r="P304" s="6" t="s">
        <v>58</v>
      </c>
      <c r="Q304" s="8" t="s">
        <v>44</v>
      </c>
      <c r="R304" s="10" t="s">
        <v>1090</v>
      </c>
      <c r="S304" s="11"/>
      <c r="T304" s="6"/>
      <c r="U304" s="27" t="str">
        <f>HYPERLINK("https://media.infra-m.ru/2052/2052444/cover/2052444.jpg", "Обложка")</f>
        <v>Обложка</v>
      </c>
      <c r="V304" s="27" t="str">
        <f>HYPERLINK("https://znanium.com/catalog/product/2052444", "Ознакомиться")</f>
        <v>Ознакомиться</v>
      </c>
      <c r="W304" s="8" t="s">
        <v>1693</v>
      </c>
      <c r="X304" s="6"/>
      <c r="Y304" s="6"/>
      <c r="Z304" s="6"/>
      <c r="AA304" s="6" t="s">
        <v>48</v>
      </c>
    </row>
    <row r="305" spans="1:27" s="4" customFormat="1" ht="51.95" customHeight="1">
      <c r="A305" s="5">
        <v>0</v>
      </c>
      <c r="B305" s="6" t="s">
        <v>1990</v>
      </c>
      <c r="C305" s="13">
        <v>804</v>
      </c>
      <c r="D305" s="8" t="s">
        <v>1991</v>
      </c>
      <c r="E305" s="8" t="s">
        <v>1992</v>
      </c>
      <c r="F305" s="8" t="s">
        <v>1993</v>
      </c>
      <c r="G305" s="6" t="s">
        <v>53</v>
      </c>
      <c r="H305" s="6" t="s">
        <v>87</v>
      </c>
      <c r="I305" s="8"/>
      <c r="J305" s="9">
        <v>1</v>
      </c>
      <c r="K305" s="9">
        <v>176</v>
      </c>
      <c r="L305" s="9">
        <v>2024</v>
      </c>
      <c r="M305" s="8" t="s">
        <v>1994</v>
      </c>
      <c r="N305" s="8" t="s">
        <v>56</v>
      </c>
      <c r="O305" s="8" t="s">
        <v>57</v>
      </c>
      <c r="P305" s="6" t="s">
        <v>58</v>
      </c>
      <c r="Q305" s="8" t="s">
        <v>44</v>
      </c>
      <c r="R305" s="10" t="s">
        <v>1995</v>
      </c>
      <c r="S305" s="11"/>
      <c r="T305" s="6"/>
      <c r="U305" s="27" t="str">
        <f>HYPERLINK("https://media.infra-m.ru/2102/2102669/cover/2102669.jpg", "Обложка")</f>
        <v>Обложка</v>
      </c>
      <c r="V305" s="12"/>
      <c r="W305" s="8" t="s">
        <v>1996</v>
      </c>
      <c r="X305" s="6"/>
      <c r="Y305" s="6"/>
      <c r="Z305" s="6"/>
      <c r="AA305" s="6" t="s">
        <v>92</v>
      </c>
    </row>
    <row r="306" spans="1:27" s="4" customFormat="1" ht="51.95" customHeight="1">
      <c r="A306" s="5">
        <v>0</v>
      </c>
      <c r="B306" s="6" t="s">
        <v>1997</v>
      </c>
      <c r="C306" s="7">
        <v>1830</v>
      </c>
      <c r="D306" s="8" t="s">
        <v>1998</v>
      </c>
      <c r="E306" s="8" t="s">
        <v>1999</v>
      </c>
      <c r="F306" s="8" t="s">
        <v>661</v>
      </c>
      <c r="G306" s="6" t="s">
        <v>37</v>
      </c>
      <c r="H306" s="6" t="s">
        <v>248</v>
      </c>
      <c r="I306" s="8"/>
      <c r="J306" s="9">
        <v>1</v>
      </c>
      <c r="K306" s="9">
        <v>392</v>
      </c>
      <c r="L306" s="9">
        <v>2024</v>
      </c>
      <c r="M306" s="8" t="s">
        <v>2000</v>
      </c>
      <c r="N306" s="8" t="s">
        <v>41</v>
      </c>
      <c r="O306" s="8" t="s">
        <v>42</v>
      </c>
      <c r="P306" s="6" t="s">
        <v>77</v>
      </c>
      <c r="Q306" s="8" t="s">
        <v>124</v>
      </c>
      <c r="R306" s="10" t="s">
        <v>68</v>
      </c>
      <c r="S306" s="11" t="s">
        <v>2001</v>
      </c>
      <c r="T306" s="6"/>
      <c r="U306" s="27" t="str">
        <f>HYPERLINK("https://media.infra-m.ru/2086/2086853/cover/2086853.jpg", "Обложка")</f>
        <v>Обложка</v>
      </c>
      <c r="V306" s="27" t="str">
        <f>HYPERLINK("https://znanium.com/catalog/product/2086853", "Ознакомиться")</f>
        <v>Ознакомиться</v>
      </c>
      <c r="W306" s="8" t="s">
        <v>665</v>
      </c>
      <c r="X306" s="6"/>
      <c r="Y306" s="6"/>
      <c r="Z306" s="6"/>
      <c r="AA306" s="6" t="s">
        <v>250</v>
      </c>
    </row>
    <row r="307" spans="1:27" s="4" customFormat="1" ht="42" customHeight="1">
      <c r="A307" s="5">
        <v>0</v>
      </c>
      <c r="B307" s="6" t="s">
        <v>2002</v>
      </c>
      <c r="C307" s="13">
        <v>510</v>
      </c>
      <c r="D307" s="8" t="s">
        <v>2003</v>
      </c>
      <c r="E307" s="8" t="s">
        <v>2004</v>
      </c>
      <c r="F307" s="8" t="s">
        <v>2005</v>
      </c>
      <c r="G307" s="6" t="s">
        <v>53</v>
      </c>
      <c r="H307" s="6" t="s">
        <v>38</v>
      </c>
      <c r="I307" s="8" t="s">
        <v>54</v>
      </c>
      <c r="J307" s="9">
        <v>1</v>
      </c>
      <c r="K307" s="9">
        <v>89</v>
      </c>
      <c r="L307" s="9">
        <v>2024</v>
      </c>
      <c r="M307" s="8" t="s">
        <v>2006</v>
      </c>
      <c r="N307" s="8" t="s">
        <v>56</v>
      </c>
      <c r="O307" s="8" t="s">
        <v>57</v>
      </c>
      <c r="P307" s="6" t="s">
        <v>58</v>
      </c>
      <c r="Q307" s="8" t="s">
        <v>44</v>
      </c>
      <c r="R307" s="10" t="s">
        <v>2007</v>
      </c>
      <c r="S307" s="11"/>
      <c r="T307" s="6"/>
      <c r="U307" s="27" t="str">
        <f>HYPERLINK("https://media.infra-m.ru/2063/2063434/cover/2063434.jpg", "Обложка")</f>
        <v>Обложка</v>
      </c>
      <c r="V307" s="27" t="str">
        <f>HYPERLINK("https://znanium.com/catalog/product/2063434", "Ознакомиться")</f>
        <v>Ознакомиться</v>
      </c>
      <c r="W307" s="8" t="s">
        <v>2008</v>
      </c>
      <c r="X307" s="6"/>
      <c r="Y307" s="6"/>
      <c r="Z307" s="6"/>
      <c r="AA307" s="6" t="s">
        <v>109</v>
      </c>
    </row>
    <row r="308" spans="1:27" s="4" customFormat="1" ht="44.1" customHeight="1">
      <c r="A308" s="5">
        <v>0</v>
      </c>
      <c r="B308" s="6" t="s">
        <v>2009</v>
      </c>
      <c r="C308" s="13">
        <v>374</v>
      </c>
      <c r="D308" s="8" t="s">
        <v>2010</v>
      </c>
      <c r="E308" s="8" t="s">
        <v>2011</v>
      </c>
      <c r="F308" s="8" t="s">
        <v>2012</v>
      </c>
      <c r="G308" s="6" t="s">
        <v>53</v>
      </c>
      <c r="H308" s="6" t="s">
        <v>38</v>
      </c>
      <c r="I308" s="8" t="s">
        <v>122</v>
      </c>
      <c r="J308" s="9">
        <v>1</v>
      </c>
      <c r="K308" s="9">
        <v>58</v>
      </c>
      <c r="L308" s="9">
        <v>2024</v>
      </c>
      <c r="M308" s="8" t="s">
        <v>2013</v>
      </c>
      <c r="N308" s="8" t="s">
        <v>41</v>
      </c>
      <c r="O308" s="8" t="s">
        <v>42</v>
      </c>
      <c r="P308" s="6" t="s">
        <v>77</v>
      </c>
      <c r="Q308" s="8" t="s">
        <v>124</v>
      </c>
      <c r="R308" s="10" t="s">
        <v>460</v>
      </c>
      <c r="S308" s="11"/>
      <c r="T308" s="6"/>
      <c r="U308" s="27" t="str">
        <f>HYPERLINK("https://media.infra-m.ru/2095/2095589/cover/2095589.jpg", "Обложка")</f>
        <v>Обложка</v>
      </c>
      <c r="V308" s="27" t="str">
        <f>HYPERLINK("https://znanium.com/catalog/product/1384777", "Ознакомиться")</f>
        <v>Ознакомиться</v>
      </c>
      <c r="W308" s="8" t="s">
        <v>116</v>
      </c>
      <c r="X308" s="6"/>
      <c r="Y308" s="6"/>
      <c r="Z308" s="6"/>
      <c r="AA308" s="6" t="s">
        <v>101</v>
      </c>
    </row>
    <row r="309" spans="1:27" s="4" customFormat="1" ht="51.95" customHeight="1">
      <c r="A309" s="5">
        <v>0</v>
      </c>
      <c r="B309" s="6" t="s">
        <v>2014</v>
      </c>
      <c r="C309" s="7">
        <v>1080</v>
      </c>
      <c r="D309" s="8" t="s">
        <v>2015</v>
      </c>
      <c r="E309" s="8" t="s">
        <v>2016</v>
      </c>
      <c r="F309" s="8" t="s">
        <v>2017</v>
      </c>
      <c r="G309" s="6" t="s">
        <v>37</v>
      </c>
      <c r="H309" s="6" t="s">
        <v>38</v>
      </c>
      <c r="I309" s="8" t="s">
        <v>122</v>
      </c>
      <c r="J309" s="9">
        <v>1</v>
      </c>
      <c r="K309" s="9">
        <v>240</v>
      </c>
      <c r="L309" s="9">
        <v>2023</v>
      </c>
      <c r="M309" s="8" t="s">
        <v>2018</v>
      </c>
      <c r="N309" s="8" t="s">
        <v>41</v>
      </c>
      <c r="O309" s="8" t="s">
        <v>42</v>
      </c>
      <c r="P309" s="6" t="s">
        <v>185</v>
      </c>
      <c r="Q309" s="8" t="s">
        <v>124</v>
      </c>
      <c r="R309" s="10" t="s">
        <v>214</v>
      </c>
      <c r="S309" s="11" t="s">
        <v>2019</v>
      </c>
      <c r="T309" s="6"/>
      <c r="U309" s="27" t="str">
        <f>HYPERLINK("https://media.infra-m.ru/1959/1959261/cover/1959261.jpg", "Обложка")</f>
        <v>Обложка</v>
      </c>
      <c r="V309" s="27" t="str">
        <f>HYPERLINK("https://znanium.com/catalog/product/1959261", "Ознакомиться")</f>
        <v>Ознакомиться</v>
      </c>
      <c r="W309" s="8" t="s">
        <v>116</v>
      </c>
      <c r="X309" s="6"/>
      <c r="Y309" s="6"/>
      <c r="Z309" s="6"/>
      <c r="AA309" s="6" t="s">
        <v>136</v>
      </c>
    </row>
    <row r="310" spans="1:27" s="4" customFormat="1" ht="42" customHeight="1">
      <c r="A310" s="5">
        <v>0</v>
      </c>
      <c r="B310" s="6" t="s">
        <v>2020</v>
      </c>
      <c r="C310" s="13">
        <v>644</v>
      </c>
      <c r="D310" s="8" t="s">
        <v>2021</v>
      </c>
      <c r="E310" s="8" t="s">
        <v>2022</v>
      </c>
      <c r="F310" s="8" t="s">
        <v>2023</v>
      </c>
      <c r="G310" s="6" t="s">
        <v>53</v>
      </c>
      <c r="H310" s="6" t="s">
        <v>38</v>
      </c>
      <c r="I310" s="8" t="s">
        <v>54</v>
      </c>
      <c r="J310" s="9">
        <v>1</v>
      </c>
      <c r="K310" s="9">
        <v>140</v>
      </c>
      <c r="L310" s="9">
        <v>2024</v>
      </c>
      <c r="M310" s="8" t="s">
        <v>2024</v>
      </c>
      <c r="N310" s="8" t="s">
        <v>41</v>
      </c>
      <c r="O310" s="8" t="s">
        <v>42</v>
      </c>
      <c r="P310" s="6" t="s">
        <v>58</v>
      </c>
      <c r="Q310" s="8" t="s">
        <v>44</v>
      </c>
      <c r="R310" s="10" t="s">
        <v>1253</v>
      </c>
      <c r="S310" s="11"/>
      <c r="T310" s="6"/>
      <c r="U310" s="27" t="str">
        <f>HYPERLINK("https://media.infra-m.ru/2090/2090022/cover/2090022.jpg", "Обложка")</f>
        <v>Обложка</v>
      </c>
      <c r="V310" s="27" t="str">
        <f>HYPERLINK("https://znanium.com/catalog/product/960035", "Ознакомиться")</f>
        <v>Ознакомиться</v>
      </c>
      <c r="W310" s="8" t="s">
        <v>849</v>
      </c>
      <c r="X310" s="6"/>
      <c r="Y310" s="6"/>
      <c r="Z310" s="6"/>
      <c r="AA310" s="6" t="s">
        <v>101</v>
      </c>
    </row>
    <row r="311" spans="1:27" s="4" customFormat="1" ht="51.95" customHeight="1">
      <c r="A311" s="5">
        <v>0</v>
      </c>
      <c r="B311" s="6" t="s">
        <v>2025</v>
      </c>
      <c r="C311" s="7">
        <v>1120</v>
      </c>
      <c r="D311" s="8" t="s">
        <v>2026</v>
      </c>
      <c r="E311" s="8" t="s">
        <v>2027</v>
      </c>
      <c r="F311" s="8" t="s">
        <v>2028</v>
      </c>
      <c r="G311" s="6" t="s">
        <v>53</v>
      </c>
      <c r="H311" s="6" t="s">
        <v>38</v>
      </c>
      <c r="I311" s="8" t="s">
        <v>54</v>
      </c>
      <c r="J311" s="9">
        <v>1</v>
      </c>
      <c r="K311" s="9">
        <v>246</v>
      </c>
      <c r="L311" s="9">
        <v>2022</v>
      </c>
      <c r="M311" s="8" t="s">
        <v>2029</v>
      </c>
      <c r="N311" s="8" t="s">
        <v>41</v>
      </c>
      <c r="O311" s="8" t="s">
        <v>42</v>
      </c>
      <c r="P311" s="6" t="s">
        <v>58</v>
      </c>
      <c r="Q311" s="8" t="s">
        <v>44</v>
      </c>
      <c r="R311" s="10" t="s">
        <v>2030</v>
      </c>
      <c r="S311" s="11"/>
      <c r="T311" s="6"/>
      <c r="U311" s="27" t="str">
        <f>HYPERLINK("https://media.infra-m.ru/1851/1851555/cover/1851555.jpg", "Обложка")</f>
        <v>Обложка</v>
      </c>
      <c r="V311" s="27" t="str">
        <f>HYPERLINK("https://znanium.com/catalog/product/1851555", "Ознакомиться")</f>
        <v>Ознакомиться</v>
      </c>
      <c r="W311" s="8" t="s">
        <v>2031</v>
      </c>
      <c r="X311" s="6"/>
      <c r="Y311" s="6"/>
      <c r="Z311" s="6"/>
      <c r="AA311" s="6" t="s">
        <v>178</v>
      </c>
    </row>
    <row r="312" spans="1:27" s="4" customFormat="1" ht="51.95" customHeight="1">
      <c r="A312" s="5">
        <v>0</v>
      </c>
      <c r="B312" s="6" t="s">
        <v>2032</v>
      </c>
      <c r="C312" s="13">
        <v>574.9</v>
      </c>
      <c r="D312" s="8" t="s">
        <v>2033</v>
      </c>
      <c r="E312" s="8" t="s">
        <v>2034</v>
      </c>
      <c r="F312" s="8" t="s">
        <v>2017</v>
      </c>
      <c r="G312" s="6" t="s">
        <v>53</v>
      </c>
      <c r="H312" s="6" t="s">
        <v>38</v>
      </c>
      <c r="I312" s="8" t="s">
        <v>54</v>
      </c>
      <c r="J312" s="9">
        <v>1</v>
      </c>
      <c r="K312" s="9">
        <v>128</v>
      </c>
      <c r="L312" s="9">
        <v>2023</v>
      </c>
      <c r="M312" s="8" t="s">
        <v>2035</v>
      </c>
      <c r="N312" s="8" t="s">
        <v>41</v>
      </c>
      <c r="O312" s="8" t="s">
        <v>42</v>
      </c>
      <c r="P312" s="6" t="s">
        <v>58</v>
      </c>
      <c r="Q312" s="8" t="s">
        <v>44</v>
      </c>
      <c r="R312" s="10" t="s">
        <v>45</v>
      </c>
      <c r="S312" s="11"/>
      <c r="T312" s="6"/>
      <c r="U312" s="27" t="str">
        <f>HYPERLINK("https://media.infra-m.ru/2002/2002648/cover/2002648.jpg", "Обложка")</f>
        <v>Обложка</v>
      </c>
      <c r="V312" s="27" t="str">
        <f>HYPERLINK("https://znanium.com/catalog/product/1044512", "Ознакомиться")</f>
        <v>Ознакомиться</v>
      </c>
      <c r="W312" s="8" t="s">
        <v>116</v>
      </c>
      <c r="X312" s="6"/>
      <c r="Y312" s="6"/>
      <c r="Z312" s="6"/>
      <c r="AA312" s="6" t="s">
        <v>117</v>
      </c>
    </row>
    <row r="313" spans="1:27" s="4" customFormat="1" ht="51.95" customHeight="1">
      <c r="A313" s="5">
        <v>0</v>
      </c>
      <c r="B313" s="6" t="s">
        <v>2036</v>
      </c>
      <c r="C313" s="13">
        <v>720</v>
      </c>
      <c r="D313" s="8" t="s">
        <v>2037</v>
      </c>
      <c r="E313" s="8" t="s">
        <v>2038</v>
      </c>
      <c r="F313" s="8" t="s">
        <v>2039</v>
      </c>
      <c r="G313" s="6" t="s">
        <v>37</v>
      </c>
      <c r="H313" s="6" t="s">
        <v>38</v>
      </c>
      <c r="I313" s="8" t="s">
        <v>122</v>
      </c>
      <c r="J313" s="9">
        <v>1</v>
      </c>
      <c r="K313" s="9">
        <v>194</v>
      </c>
      <c r="L313" s="9">
        <v>2020</v>
      </c>
      <c r="M313" s="8" t="s">
        <v>2040</v>
      </c>
      <c r="N313" s="8" t="s">
        <v>56</v>
      </c>
      <c r="O313" s="8" t="s">
        <v>57</v>
      </c>
      <c r="P313" s="6" t="s">
        <v>77</v>
      </c>
      <c r="Q313" s="8" t="s">
        <v>124</v>
      </c>
      <c r="R313" s="10" t="s">
        <v>1606</v>
      </c>
      <c r="S313" s="11" t="s">
        <v>2041</v>
      </c>
      <c r="T313" s="6"/>
      <c r="U313" s="27" t="str">
        <f>HYPERLINK("https://media.infra-m.ru/1082/1082912/cover/1082912.jpg", "Обложка")</f>
        <v>Обложка</v>
      </c>
      <c r="V313" s="27" t="str">
        <f>HYPERLINK("https://znanium.com/catalog/product/1985783", "Ознакомиться")</f>
        <v>Ознакомиться</v>
      </c>
      <c r="W313" s="8" t="s">
        <v>1608</v>
      </c>
      <c r="X313" s="6"/>
      <c r="Y313" s="6"/>
      <c r="Z313" s="6"/>
      <c r="AA313" s="6" t="s">
        <v>70</v>
      </c>
    </row>
    <row r="314" spans="1:27" s="4" customFormat="1" ht="51.95" customHeight="1">
      <c r="A314" s="5">
        <v>0</v>
      </c>
      <c r="B314" s="6" t="s">
        <v>2042</v>
      </c>
      <c r="C314" s="7">
        <v>1444</v>
      </c>
      <c r="D314" s="8" t="s">
        <v>2043</v>
      </c>
      <c r="E314" s="8" t="s">
        <v>2044</v>
      </c>
      <c r="F314" s="8" t="s">
        <v>2045</v>
      </c>
      <c r="G314" s="6" t="s">
        <v>53</v>
      </c>
      <c r="H314" s="6" t="s">
        <v>38</v>
      </c>
      <c r="I314" s="8" t="s">
        <v>2046</v>
      </c>
      <c r="J314" s="9">
        <v>1</v>
      </c>
      <c r="K314" s="9">
        <v>314</v>
      </c>
      <c r="L314" s="9">
        <v>2023</v>
      </c>
      <c r="M314" s="8" t="s">
        <v>2047</v>
      </c>
      <c r="N314" s="8" t="s">
        <v>41</v>
      </c>
      <c r="O314" s="8" t="s">
        <v>42</v>
      </c>
      <c r="P314" s="6" t="s">
        <v>58</v>
      </c>
      <c r="Q314" s="8" t="s">
        <v>44</v>
      </c>
      <c r="R314" s="10" t="s">
        <v>2048</v>
      </c>
      <c r="S314" s="11"/>
      <c r="T314" s="6"/>
      <c r="U314" s="27" t="str">
        <f>HYPERLINK("https://media.infra-m.ru/2080/2080771/cover/2080771.jpg", "Обложка")</f>
        <v>Обложка</v>
      </c>
      <c r="V314" s="27" t="str">
        <f>HYPERLINK("https://znanium.com/catalog/product/1971879", "Ознакомиться")</f>
        <v>Ознакомиться</v>
      </c>
      <c r="W314" s="8" t="s">
        <v>69</v>
      </c>
      <c r="X314" s="6"/>
      <c r="Y314" s="6"/>
      <c r="Z314" s="6"/>
      <c r="AA314" s="6" t="s">
        <v>70</v>
      </c>
    </row>
    <row r="315" spans="1:27" s="4" customFormat="1" ht="44.1" customHeight="1">
      <c r="A315" s="5">
        <v>0</v>
      </c>
      <c r="B315" s="6" t="s">
        <v>2049</v>
      </c>
      <c r="C315" s="7">
        <v>1584.9</v>
      </c>
      <c r="D315" s="8" t="s">
        <v>2050</v>
      </c>
      <c r="E315" s="8" t="s">
        <v>2051</v>
      </c>
      <c r="F315" s="8" t="s">
        <v>2052</v>
      </c>
      <c r="G315" s="6" t="s">
        <v>37</v>
      </c>
      <c r="H315" s="6" t="s">
        <v>87</v>
      </c>
      <c r="I315" s="8"/>
      <c r="J315" s="9">
        <v>1</v>
      </c>
      <c r="K315" s="9">
        <v>352</v>
      </c>
      <c r="L315" s="9">
        <v>2023</v>
      </c>
      <c r="M315" s="8" t="s">
        <v>2053</v>
      </c>
      <c r="N315" s="8" t="s">
        <v>41</v>
      </c>
      <c r="O315" s="8" t="s">
        <v>42</v>
      </c>
      <c r="P315" s="6" t="s">
        <v>77</v>
      </c>
      <c r="Q315" s="8" t="s">
        <v>908</v>
      </c>
      <c r="R315" s="10" t="s">
        <v>2054</v>
      </c>
      <c r="S315" s="11"/>
      <c r="T315" s="6"/>
      <c r="U315" s="27" t="str">
        <f>HYPERLINK("https://media.infra-m.ru/1909/1909036/cover/1909036.jpg", "Обложка")</f>
        <v>Обложка</v>
      </c>
      <c r="V315" s="27" t="str">
        <f>HYPERLINK("https://znanium.com/catalog/product/1045332", "Ознакомиться")</f>
        <v>Ознакомиться</v>
      </c>
      <c r="W315" s="8" t="s">
        <v>2055</v>
      </c>
      <c r="X315" s="6"/>
      <c r="Y315" s="6"/>
      <c r="Z315" s="6"/>
      <c r="AA315" s="6" t="s">
        <v>302</v>
      </c>
    </row>
    <row r="316" spans="1:27" s="4" customFormat="1" ht="51.95" customHeight="1">
      <c r="A316" s="5">
        <v>0</v>
      </c>
      <c r="B316" s="6" t="s">
        <v>2056</v>
      </c>
      <c r="C316" s="13">
        <v>400</v>
      </c>
      <c r="D316" s="8" t="s">
        <v>2057</v>
      </c>
      <c r="E316" s="8" t="s">
        <v>2058</v>
      </c>
      <c r="F316" s="8" t="s">
        <v>2059</v>
      </c>
      <c r="G316" s="6" t="s">
        <v>53</v>
      </c>
      <c r="H316" s="6" t="s">
        <v>38</v>
      </c>
      <c r="I316" s="8" t="s">
        <v>54</v>
      </c>
      <c r="J316" s="9">
        <v>1</v>
      </c>
      <c r="K316" s="9">
        <v>76</v>
      </c>
      <c r="L316" s="9">
        <v>2022</v>
      </c>
      <c r="M316" s="8" t="s">
        <v>2060</v>
      </c>
      <c r="N316" s="8" t="s">
        <v>41</v>
      </c>
      <c r="O316" s="8" t="s">
        <v>42</v>
      </c>
      <c r="P316" s="6" t="s">
        <v>58</v>
      </c>
      <c r="Q316" s="8" t="s">
        <v>44</v>
      </c>
      <c r="R316" s="10" t="s">
        <v>2061</v>
      </c>
      <c r="S316" s="11"/>
      <c r="T316" s="6"/>
      <c r="U316" s="27" t="str">
        <f>HYPERLINK("https://media.infra-m.ru/1856/1856795/cover/1856795.jpg", "Обложка")</f>
        <v>Обложка</v>
      </c>
      <c r="V316" s="27" t="str">
        <f>HYPERLINK("https://znanium.com/catalog/product/1856795", "Ознакомиться")</f>
        <v>Ознакомиться</v>
      </c>
      <c r="W316" s="8" t="s">
        <v>135</v>
      </c>
      <c r="X316" s="6"/>
      <c r="Y316" s="6"/>
      <c r="Z316" s="6"/>
      <c r="AA316" s="6" t="s">
        <v>83</v>
      </c>
    </row>
    <row r="317" spans="1:27" s="4" customFormat="1" ht="51.95" customHeight="1">
      <c r="A317" s="5">
        <v>0</v>
      </c>
      <c r="B317" s="6" t="s">
        <v>2062</v>
      </c>
      <c r="C317" s="13">
        <v>874</v>
      </c>
      <c r="D317" s="8" t="s">
        <v>2063</v>
      </c>
      <c r="E317" s="8" t="s">
        <v>2064</v>
      </c>
      <c r="F317" s="8" t="s">
        <v>2065</v>
      </c>
      <c r="G317" s="6" t="s">
        <v>53</v>
      </c>
      <c r="H317" s="6" t="s">
        <v>87</v>
      </c>
      <c r="I317" s="8" t="s">
        <v>173</v>
      </c>
      <c r="J317" s="9">
        <v>1</v>
      </c>
      <c r="K317" s="9">
        <v>191</v>
      </c>
      <c r="L317" s="9">
        <v>2024</v>
      </c>
      <c r="M317" s="8" t="s">
        <v>2066</v>
      </c>
      <c r="N317" s="8" t="s">
        <v>41</v>
      </c>
      <c r="O317" s="8" t="s">
        <v>42</v>
      </c>
      <c r="P317" s="6" t="s">
        <v>185</v>
      </c>
      <c r="Q317" s="8" t="s">
        <v>89</v>
      </c>
      <c r="R317" s="10" t="s">
        <v>442</v>
      </c>
      <c r="S317" s="11" t="s">
        <v>2067</v>
      </c>
      <c r="T317" s="6"/>
      <c r="U317" s="27" t="str">
        <f>HYPERLINK("https://media.infra-m.ru/2102/2102721/cover/2102721.jpg", "Обложка")</f>
        <v>Обложка</v>
      </c>
      <c r="V317" s="27" t="str">
        <f>HYPERLINK("https://znanium.com/catalog/product/1134540", "Ознакомиться")</f>
        <v>Ознакомиться</v>
      </c>
      <c r="W317" s="8" t="s">
        <v>444</v>
      </c>
      <c r="X317" s="6"/>
      <c r="Y317" s="6"/>
      <c r="Z317" s="6"/>
      <c r="AA317" s="6" t="s">
        <v>109</v>
      </c>
    </row>
    <row r="318" spans="1:27" s="4" customFormat="1" ht="51.95" customHeight="1">
      <c r="A318" s="5">
        <v>0</v>
      </c>
      <c r="B318" s="6" t="s">
        <v>2068</v>
      </c>
      <c r="C318" s="7">
        <v>1394</v>
      </c>
      <c r="D318" s="8" t="s">
        <v>2069</v>
      </c>
      <c r="E318" s="8" t="s">
        <v>2070</v>
      </c>
      <c r="F318" s="8" t="s">
        <v>2071</v>
      </c>
      <c r="G318" s="6" t="s">
        <v>165</v>
      </c>
      <c r="H318" s="6" t="s">
        <v>38</v>
      </c>
      <c r="I318" s="8" t="s">
        <v>173</v>
      </c>
      <c r="J318" s="9">
        <v>1</v>
      </c>
      <c r="K318" s="9">
        <v>304</v>
      </c>
      <c r="L318" s="9">
        <v>2024</v>
      </c>
      <c r="M318" s="8" t="s">
        <v>2072</v>
      </c>
      <c r="N318" s="8" t="s">
        <v>41</v>
      </c>
      <c r="O318" s="8" t="s">
        <v>42</v>
      </c>
      <c r="P318" s="6" t="s">
        <v>77</v>
      </c>
      <c r="Q318" s="8" t="s">
        <v>89</v>
      </c>
      <c r="R318" s="10" t="s">
        <v>2073</v>
      </c>
      <c r="S318" s="11"/>
      <c r="T318" s="6"/>
      <c r="U318" s="12"/>
      <c r="V318" s="27" t="str">
        <f>HYPERLINK("https://znanium.com/catalog/product/1839701", "Ознакомиться")</f>
        <v>Ознакомиться</v>
      </c>
      <c r="W318" s="8" t="s">
        <v>503</v>
      </c>
      <c r="X318" s="6"/>
      <c r="Y318" s="6"/>
      <c r="Z318" s="6"/>
      <c r="AA318" s="6" t="s">
        <v>622</v>
      </c>
    </row>
    <row r="319" spans="1:27" s="4" customFormat="1" ht="42" customHeight="1">
      <c r="A319" s="5">
        <v>0</v>
      </c>
      <c r="B319" s="6" t="s">
        <v>2074</v>
      </c>
      <c r="C319" s="7">
        <v>1980</v>
      </c>
      <c r="D319" s="8" t="s">
        <v>2075</v>
      </c>
      <c r="E319" s="8" t="s">
        <v>2076</v>
      </c>
      <c r="F319" s="8"/>
      <c r="G319" s="6" t="s">
        <v>53</v>
      </c>
      <c r="H319" s="6" t="s">
        <v>38</v>
      </c>
      <c r="I319" s="8"/>
      <c r="J319" s="9">
        <v>1</v>
      </c>
      <c r="K319" s="9">
        <v>48</v>
      </c>
      <c r="L319" s="9">
        <v>2023</v>
      </c>
      <c r="M319" s="8"/>
      <c r="N319" s="8" t="s">
        <v>41</v>
      </c>
      <c r="O319" s="8" t="s">
        <v>42</v>
      </c>
      <c r="P319" s="6" t="s">
        <v>1240</v>
      </c>
      <c r="Q319" s="8"/>
      <c r="R319" s="10"/>
      <c r="S319" s="11"/>
      <c r="T319" s="6"/>
      <c r="U319" s="27" t="str">
        <f>HYPERLINK("https://media.infra-m.ru/1902/1902952/cover/1902952.jpg", "Обложка")</f>
        <v>Обложка</v>
      </c>
      <c r="V319" s="27" t="str">
        <f>HYPERLINK("https://znanium.com/catalog/product/470824", "Ознакомиться")</f>
        <v>Ознакомиться</v>
      </c>
      <c r="W319" s="8"/>
      <c r="X319" s="6" t="s">
        <v>334</v>
      </c>
      <c r="Y319" s="6"/>
      <c r="Z319" s="6"/>
      <c r="AA319" s="6" t="s">
        <v>101</v>
      </c>
    </row>
    <row r="320" spans="1:27" s="4" customFormat="1" ht="51.95" customHeight="1">
      <c r="A320" s="5">
        <v>0</v>
      </c>
      <c r="B320" s="6" t="s">
        <v>2077</v>
      </c>
      <c r="C320" s="13">
        <v>910</v>
      </c>
      <c r="D320" s="8" t="s">
        <v>2078</v>
      </c>
      <c r="E320" s="8" t="s">
        <v>2079</v>
      </c>
      <c r="F320" s="8" t="s">
        <v>2080</v>
      </c>
      <c r="G320" s="6" t="s">
        <v>37</v>
      </c>
      <c r="H320" s="6" t="s">
        <v>38</v>
      </c>
      <c r="I320" s="8" t="s">
        <v>39</v>
      </c>
      <c r="J320" s="9">
        <v>1</v>
      </c>
      <c r="K320" s="9">
        <v>198</v>
      </c>
      <c r="L320" s="9">
        <v>2024</v>
      </c>
      <c r="M320" s="8" t="s">
        <v>2081</v>
      </c>
      <c r="N320" s="8" t="s">
        <v>41</v>
      </c>
      <c r="O320" s="8" t="s">
        <v>42</v>
      </c>
      <c r="P320" s="6" t="s">
        <v>77</v>
      </c>
      <c r="Q320" s="8" t="s">
        <v>89</v>
      </c>
      <c r="R320" s="10" t="s">
        <v>1018</v>
      </c>
      <c r="S320" s="11" t="s">
        <v>2082</v>
      </c>
      <c r="T320" s="6"/>
      <c r="U320" s="27" t="str">
        <f>HYPERLINK("https://media.infra-m.ru/2080/2080363/cover/2080363.jpg", "Обложка")</f>
        <v>Обложка</v>
      </c>
      <c r="V320" s="27" t="str">
        <f>HYPERLINK("https://znanium.com/catalog/product/2080363", "Ознакомиться")</f>
        <v>Ознакомиться</v>
      </c>
      <c r="W320" s="8" t="s">
        <v>638</v>
      </c>
      <c r="X320" s="6"/>
      <c r="Y320" s="6"/>
      <c r="Z320" s="6"/>
      <c r="AA320" s="6" t="s">
        <v>136</v>
      </c>
    </row>
    <row r="321" spans="1:27" s="4" customFormat="1" ht="51.95" customHeight="1">
      <c r="A321" s="5">
        <v>0</v>
      </c>
      <c r="B321" s="6" t="s">
        <v>2083</v>
      </c>
      <c r="C321" s="13">
        <v>920</v>
      </c>
      <c r="D321" s="8" t="s">
        <v>2084</v>
      </c>
      <c r="E321" s="8" t="s">
        <v>2079</v>
      </c>
      <c r="F321" s="8" t="s">
        <v>2080</v>
      </c>
      <c r="G321" s="6" t="s">
        <v>37</v>
      </c>
      <c r="H321" s="6" t="s">
        <v>38</v>
      </c>
      <c r="I321" s="8" t="s">
        <v>75</v>
      </c>
      <c r="J321" s="9">
        <v>1</v>
      </c>
      <c r="K321" s="9">
        <v>198</v>
      </c>
      <c r="L321" s="9">
        <v>2024</v>
      </c>
      <c r="M321" s="8" t="s">
        <v>2085</v>
      </c>
      <c r="N321" s="8" t="s">
        <v>41</v>
      </c>
      <c r="O321" s="8" t="s">
        <v>42</v>
      </c>
      <c r="P321" s="6" t="s">
        <v>77</v>
      </c>
      <c r="Q321" s="8" t="s">
        <v>78</v>
      </c>
      <c r="R321" s="10" t="s">
        <v>1018</v>
      </c>
      <c r="S321" s="11" t="s">
        <v>2086</v>
      </c>
      <c r="T321" s="6"/>
      <c r="U321" s="27" t="str">
        <f>HYPERLINK("https://media.infra-m.ru/2120/2120762/cover/2120762.jpg", "Обложка")</f>
        <v>Обложка</v>
      </c>
      <c r="V321" s="27" t="str">
        <f>HYPERLINK("https://znanium.com/catalog/product/2120762", "Ознакомиться")</f>
        <v>Ознакомиться</v>
      </c>
      <c r="W321" s="8" t="s">
        <v>638</v>
      </c>
      <c r="X321" s="6"/>
      <c r="Y321" s="6"/>
      <c r="Z321" s="6" t="s">
        <v>82</v>
      </c>
      <c r="AA321" s="6" t="s">
        <v>128</v>
      </c>
    </row>
    <row r="322" spans="1:27" s="4" customFormat="1" ht="51.95" customHeight="1">
      <c r="A322" s="5">
        <v>0</v>
      </c>
      <c r="B322" s="6" t="s">
        <v>2087</v>
      </c>
      <c r="C322" s="7">
        <v>1580</v>
      </c>
      <c r="D322" s="8" t="s">
        <v>2088</v>
      </c>
      <c r="E322" s="8" t="s">
        <v>2089</v>
      </c>
      <c r="F322" s="8" t="s">
        <v>2090</v>
      </c>
      <c r="G322" s="6" t="s">
        <v>37</v>
      </c>
      <c r="H322" s="6" t="s">
        <v>38</v>
      </c>
      <c r="I322" s="8" t="s">
        <v>173</v>
      </c>
      <c r="J322" s="9">
        <v>1</v>
      </c>
      <c r="K322" s="9">
        <v>350</v>
      </c>
      <c r="L322" s="9">
        <v>2023</v>
      </c>
      <c r="M322" s="8" t="s">
        <v>2091</v>
      </c>
      <c r="N322" s="8" t="s">
        <v>41</v>
      </c>
      <c r="O322" s="8" t="s">
        <v>42</v>
      </c>
      <c r="P322" s="6" t="s">
        <v>150</v>
      </c>
      <c r="Q322" s="8" t="s">
        <v>89</v>
      </c>
      <c r="R322" s="10" t="s">
        <v>2092</v>
      </c>
      <c r="S322" s="11" t="s">
        <v>2093</v>
      </c>
      <c r="T322" s="6"/>
      <c r="U322" s="27" t="str">
        <f>HYPERLINK("https://media.infra-m.ru/1913/1913231/cover/1913231.jpg", "Обложка")</f>
        <v>Обложка</v>
      </c>
      <c r="V322" s="27" t="str">
        <f>HYPERLINK("https://znanium.com/catalog/product/1913231", "Ознакомиться")</f>
        <v>Ознакомиться</v>
      </c>
      <c r="W322" s="8" t="s">
        <v>262</v>
      </c>
      <c r="X322" s="6"/>
      <c r="Y322" s="6"/>
      <c r="Z322" s="6"/>
      <c r="AA322" s="6" t="s">
        <v>189</v>
      </c>
    </row>
    <row r="323" spans="1:27" s="4" customFormat="1" ht="51.95" customHeight="1">
      <c r="A323" s="5">
        <v>0</v>
      </c>
      <c r="B323" s="6" t="s">
        <v>2094</v>
      </c>
      <c r="C323" s="7">
        <v>1160</v>
      </c>
      <c r="D323" s="8" t="s">
        <v>2095</v>
      </c>
      <c r="E323" s="8" t="s">
        <v>2096</v>
      </c>
      <c r="F323" s="8" t="s">
        <v>2097</v>
      </c>
      <c r="G323" s="6" t="s">
        <v>37</v>
      </c>
      <c r="H323" s="6" t="s">
        <v>38</v>
      </c>
      <c r="I323" s="8" t="s">
        <v>173</v>
      </c>
      <c r="J323" s="9">
        <v>1</v>
      </c>
      <c r="K323" s="9">
        <v>400</v>
      </c>
      <c r="L323" s="9">
        <v>2018</v>
      </c>
      <c r="M323" s="8" t="s">
        <v>2098</v>
      </c>
      <c r="N323" s="8" t="s">
        <v>56</v>
      </c>
      <c r="O323" s="8" t="s">
        <v>57</v>
      </c>
      <c r="P323" s="6" t="s">
        <v>150</v>
      </c>
      <c r="Q323" s="8" t="s">
        <v>89</v>
      </c>
      <c r="R323" s="10" t="s">
        <v>2092</v>
      </c>
      <c r="S323" s="11" t="s">
        <v>2099</v>
      </c>
      <c r="T323" s="6"/>
      <c r="U323" s="27" t="str">
        <f>HYPERLINK("https://media.infra-m.ru/0935/0935305/cover/935305.jpg", "Обложка")</f>
        <v>Обложка</v>
      </c>
      <c r="V323" s="27" t="str">
        <f>HYPERLINK("https://znanium.com/catalog/product/1913231", "Ознакомиться")</f>
        <v>Ознакомиться</v>
      </c>
      <c r="W323" s="8" t="s">
        <v>262</v>
      </c>
      <c r="X323" s="6"/>
      <c r="Y323" s="6"/>
      <c r="Z323" s="6"/>
      <c r="AA323" s="6" t="s">
        <v>92</v>
      </c>
    </row>
    <row r="324" spans="1:27" s="4" customFormat="1" ht="51.95" customHeight="1">
      <c r="A324" s="5">
        <v>0</v>
      </c>
      <c r="B324" s="6" t="s">
        <v>2100</v>
      </c>
      <c r="C324" s="13">
        <v>880</v>
      </c>
      <c r="D324" s="8" t="s">
        <v>2101</v>
      </c>
      <c r="E324" s="8" t="s">
        <v>2102</v>
      </c>
      <c r="F324" s="8" t="s">
        <v>2103</v>
      </c>
      <c r="G324" s="6" t="s">
        <v>37</v>
      </c>
      <c r="H324" s="6" t="s">
        <v>38</v>
      </c>
      <c r="I324" s="8" t="s">
        <v>39</v>
      </c>
      <c r="J324" s="9">
        <v>1</v>
      </c>
      <c r="K324" s="9">
        <v>191</v>
      </c>
      <c r="L324" s="9">
        <v>2024</v>
      </c>
      <c r="M324" s="8" t="s">
        <v>2104</v>
      </c>
      <c r="N324" s="8" t="s">
        <v>41</v>
      </c>
      <c r="O324" s="8" t="s">
        <v>42</v>
      </c>
      <c r="P324" s="6" t="s">
        <v>185</v>
      </c>
      <c r="Q324" s="8" t="s">
        <v>44</v>
      </c>
      <c r="R324" s="10" t="s">
        <v>340</v>
      </c>
      <c r="S324" s="11"/>
      <c r="T324" s="6"/>
      <c r="U324" s="27" t="str">
        <f>HYPERLINK("https://media.infra-m.ru/2085/2085047/cover/2085047.jpg", "Обложка")</f>
        <v>Обложка</v>
      </c>
      <c r="V324" s="27" t="str">
        <f>HYPERLINK("https://znanium.com/catalog/product/2085047", "Ознакомиться")</f>
        <v>Ознакомиться</v>
      </c>
      <c r="W324" s="8" t="s">
        <v>638</v>
      </c>
      <c r="X324" s="6"/>
      <c r="Y324" s="6"/>
      <c r="Z324" s="6"/>
      <c r="AA324" s="6" t="s">
        <v>48</v>
      </c>
    </row>
    <row r="325" spans="1:27" s="4" customFormat="1" ht="51.95" customHeight="1">
      <c r="A325" s="5">
        <v>0</v>
      </c>
      <c r="B325" s="6" t="s">
        <v>2105</v>
      </c>
      <c r="C325" s="7">
        <v>1230</v>
      </c>
      <c r="D325" s="8" t="s">
        <v>2106</v>
      </c>
      <c r="E325" s="8" t="s">
        <v>2107</v>
      </c>
      <c r="F325" s="8" t="s">
        <v>2108</v>
      </c>
      <c r="G325" s="6" t="s">
        <v>37</v>
      </c>
      <c r="H325" s="6" t="s">
        <v>248</v>
      </c>
      <c r="I325" s="8"/>
      <c r="J325" s="9">
        <v>1</v>
      </c>
      <c r="K325" s="9">
        <v>268</v>
      </c>
      <c r="L325" s="9">
        <v>2023</v>
      </c>
      <c r="M325" s="8" t="s">
        <v>2109</v>
      </c>
      <c r="N325" s="8" t="s">
        <v>41</v>
      </c>
      <c r="O325" s="8" t="s">
        <v>42</v>
      </c>
      <c r="P325" s="6" t="s">
        <v>77</v>
      </c>
      <c r="Q325" s="8" t="s">
        <v>89</v>
      </c>
      <c r="R325" s="10" t="s">
        <v>2110</v>
      </c>
      <c r="S325" s="11"/>
      <c r="T325" s="6"/>
      <c r="U325" s="27" t="str">
        <f>HYPERLINK("https://media.infra-m.ru/2020/2020544/cover/2020544.jpg", "Обложка")</f>
        <v>Обложка</v>
      </c>
      <c r="V325" s="27" t="str">
        <f>HYPERLINK("https://znanium.com/catalog/product/2020544", "Ознакомиться")</f>
        <v>Ознакомиться</v>
      </c>
      <c r="W325" s="8" t="s">
        <v>47</v>
      </c>
      <c r="X325" s="6"/>
      <c r="Y325" s="6"/>
      <c r="Z325" s="6"/>
      <c r="AA325" s="6" t="s">
        <v>48</v>
      </c>
    </row>
    <row r="326" spans="1:27" s="4" customFormat="1" ht="51.95" customHeight="1">
      <c r="A326" s="5">
        <v>0</v>
      </c>
      <c r="B326" s="6" t="s">
        <v>2111</v>
      </c>
      <c r="C326" s="7">
        <v>1480</v>
      </c>
      <c r="D326" s="8" t="s">
        <v>2112</v>
      </c>
      <c r="E326" s="8" t="s">
        <v>2113</v>
      </c>
      <c r="F326" s="8" t="s">
        <v>480</v>
      </c>
      <c r="G326" s="6" t="s">
        <v>37</v>
      </c>
      <c r="H326" s="6" t="s">
        <v>38</v>
      </c>
      <c r="I326" s="8" t="s">
        <v>183</v>
      </c>
      <c r="J326" s="9">
        <v>1</v>
      </c>
      <c r="K326" s="9">
        <v>329</v>
      </c>
      <c r="L326" s="9">
        <v>2023</v>
      </c>
      <c r="M326" s="8" t="s">
        <v>2114</v>
      </c>
      <c r="N326" s="8" t="s">
        <v>41</v>
      </c>
      <c r="O326" s="8" t="s">
        <v>42</v>
      </c>
      <c r="P326" s="6" t="s">
        <v>77</v>
      </c>
      <c r="Q326" s="8" t="s">
        <v>89</v>
      </c>
      <c r="R326" s="10" t="s">
        <v>1568</v>
      </c>
      <c r="S326" s="11" t="s">
        <v>2115</v>
      </c>
      <c r="T326" s="6"/>
      <c r="U326" s="27" t="str">
        <f>HYPERLINK("https://media.infra-m.ru/1969/1969524/cover/1969524.jpg", "Обложка")</f>
        <v>Обложка</v>
      </c>
      <c r="V326" s="27" t="str">
        <f>HYPERLINK("https://znanium.com/catalog/product/1969524", "Ознакомиться")</f>
        <v>Ознакомиться</v>
      </c>
      <c r="W326" s="8" t="s">
        <v>483</v>
      </c>
      <c r="X326" s="6"/>
      <c r="Y326" s="6"/>
      <c r="Z326" s="6"/>
      <c r="AA326" s="6" t="s">
        <v>136</v>
      </c>
    </row>
    <row r="327" spans="1:27" s="4" customFormat="1" ht="51.95" customHeight="1">
      <c r="A327" s="5">
        <v>0</v>
      </c>
      <c r="B327" s="6" t="s">
        <v>2116</v>
      </c>
      <c r="C327" s="7">
        <v>1410</v>
      </c>
      <c r="D327" s="8" t="s">
        <v>2117</v>
      </c>
      <c r="E327" s="8" t="s">
        <v>2118</v>
      </c>
      <c r="F327" s="8" t="s">
        <v>2119</v>
      </c>
      <c r="G327" s="6" t="s">
        <v>37</v>
      </c>
      <c r="H327" s="6" t="s">
        <v>38</v>
      </c>
      <c r="I327" s="8" t="s">
        <v>173</v>
      </c>
      <c r="J327" s="9">
        <v>1</v>
      </c>
      <c r="K327" s="9">
        <v>314</v>
      </c>
      <c r="L327" s="9">
        <v>2023</v>
      </c>
      <c r="M327" s="8" t="s">
        <v>2120</v>
      </c>
      <c r="N327" s="8" t="s">
        <v>41</v>
      </c>
      <c r="O327" s="8" t="s">
        <v>42</v>
      </c>
      <c r="P327" s="6" t="s">
        <v>150</v>
      </c>
      <c r="Q327" s="8" t="s">
        <v>89</v>
      </c>
      <c r="R327" s="10" t="s">
        <v>1075</v>
      </c>
      <c r="S327" s="11" t="s">
        <v>2121</v>
      </c>
      <c r="T327" s="6"/>
      <c r="U327" s="27" t="str">
        <f>HYPERLINK("https://media.infra-m.ru/1913/1913693/cover/1913693.jpg", "Обложка")</f>
        <v>Обложка</v>
      </c>
      <c r="V327" s="27" t="str">
        <f>HYPERLINK("https://znanium.com/catalog/product/2116852", "Ознакомиться")</f>
        <v>Ознакомиться</v>
      </c>
      <c r="W327" s="8"/>
      <c r="X327" s="6"/>
      <c r="Y327" s="6"/>
      <c r="Z327" s="6"/>
      <c r="AA327" s="6" t="s">
        <v>109</v>
      </c>
    </row>
    <row r="328" spans="1:27" s="4" customFormat="1" ht="51.95" customHeight="1">
      <c r="A328" s="5">
        <v>0</v>
      </c>
      <c r="B328" s="6" t="s">
        <v>2122</v>
      </c>
      <c r="C328" s="7">
        <v>1240</v>
      </c>
      <c r="D328" s="8" t="s">
        <v>2123</v>
      </c>
      <c r="E328" s="8" t="s">
        <v>2124</v>
      </c>
      <c r="F328" s="8" t="s">
        <v>2125</v>
      </c>
      <c r="G328" s="6" t="s">
        <v>37</v>
      </c>
      <c r="H328" s="6" t="s">
        <v>608</v>
      </c>
      <c r="I328" s="8" t="s">
        <v>122</v>
      </c>
      <c r="J328" s="9">
        <v>1</v>
      </c>
      <c r="K328" s="9">
        <v>275</v>
      </c>
      <c r="L328" s="9">
        <v>2023</v>
      </c>
      <c r="M328" s="8" t="s">
        <v>2126</v>
      </c>
      <c r="N328" s="8" t="s">
        <v>41</v>
      </c>
      <c r="O328" s="8" t="s">
        <v>42</v>
      </c>
      <c r="P328" s="6" t="s">
        <v>77</v>
      </c>
      <c r="Q328" s="8" t="s">
        <v>124</v>
      </c>
      <c r="R328" s="10" t="s">
        <v>2127</v>
      </c>
      <c r="S328" s="11"/>
      <c r="T328" s="6"/>
      <c r="U328" s="27" t="str">
        <f>HYPERLINK("https://media.infra-m.ru/1993/1993508/cover/1993508.jpg", "Обложка")</f>
        <v>Обложка</v>
      </c>
      <c r="V328" s="27" t="str">
        <f>HYPERLINK("https://znanium.com/catalog/product/1993508", "Ознакомиться")</f>
        <v>Ознакомиться</v>
      </c>
      <c r="W328" s="8" t="s">
        <v>2128</v>
      </c>
      <c r="X328" s="6"/>
      <c r="Y328" s="6"/>
      <c r="Z328" s="6"/>
      <c r="AA328" s="6" t="s">
        <v>117</v>
      </c>
    </row>
    <row r="329" spans="1:27" s="4" customFormat="1" ht="42" customHeight="1">
      <c r="A329" s="5">
        <v>0</v>
      </c>
      <c r="B329" s="6" t="s">
        <v>2129</v>
      </c>
      <c r="C329" s="7">
        <v>1400</v>
      </c>
      <c r="D329" s="8" t="s">
        <v>2130</v>
      </c>
      <c r="E329" s="8" t="s">
        <v>2131</v>
      </c>
      <c r="F329" s="8" t="s">
        <v>2132</v>
      </c>
      <c r="G329" s="6" t="s">
        <v>37</v>
      </c>
      <c r="H329" s="6" t="s">
        <v>38</v>
      </c>
      <c r="I329" s="8" t="s">
        <v>54</v>
      </c>
      <c r="J329" s="9">
        <v>1</v>
      </c>
      <c r="K329" s="9">
        <v>306</v>
      </c>
      <c r="L329" s="9">
        <v>2024</v>
      </c>
      <c r="M329" s="8" t="s">
        <v>2133</v>
      </c>
      <c r="N329" s="8" t="s">
        <v>56</v>
      </c>
      <c r="O329" s="8" t="s">
        <v>57</v>
      </c>
      <c r="P329" s="6" t="s">
        <v>58</v>
      </c>
      <c r="Q329" s="8" t="s">
        <v>44</v>
      </c>
      <c r="R329" s="10" t="s">
        <v>2134</v>
      </c>
      <c r="S329" s="11"/>
      <c r="T329" s="6"/>
      <c r="U329" s="27" t="str">
        <f>HYPERLINK("https://media.infra-m.ru/2118/2118167/cover/2118167.jpg", "Обложка")</f>
        <v>Обложка</v>
      </c>
      <c r="V329" s="27" t="str">
        <f>HYPERLINK("https://znanium.com/catalog/product/2118167", "Ознакомиться")</f>
        <v>Ознакомиться</v>
      </c>
      <c r="W329" s="8" t="s">
        <v>143</v>
      </c>
      <c r="X329" s="6"/>
      <c r="Y329" s="6"/>
      <c r="Z329" s="6"/>
      <c r="AA329" s="6" t="s">
        <v>117</v>
      </c>
    </row>
    <row r="330" spans="1:27" s="4" customFormat="1" ht="42" customHeight="1">
      <c r="A330" s="5">
        <v>0</v>
      </c>
      <c r="B330" s="6" t="s">
        <v>2135</v>
      </c>
      <c r="C330" s="7">
        <v>1020</v>
      </c>
      <c r="D330" s="8" t="s">
        <v>2136</v>
      </c>
      <c r="E330" s="8" t="s">
        <v>2137</v>
      </c>
      <c r="F330" s="8" t="s">
        <v>2132</v>
      </c>
      <c r="G330" s="6" t="s">
        <v>37</v>
      </c>
      <c r="H330" s="6" t="s">
        <v>38</v>
      </c>
      <c r="I330" s="8" t="s">
        <v>54</v>
      </c>
      <c r="J330" s="9">
        <v>1</v>
      </c>
      <c r="K330" s="9">
        <v>262</v>
      </c>
      <c r="L330" s="9">
        <v>2022</v>
      </c>
      <c r="M330" s="8" t="s">
        <v>2138</v>
      </c>
      <c r="N330" s="8" t="s">
        <v>56</v>
      </c>
      <c r="O330" s="8" t="s">
        <v>57</v>
      </c>
      <c r="P330" s="6" t="s">
        <v>58</v>
      </c>
      <c r="Q330" s="8" t="s">
        <v>44</v>
      </c>
      <c r="R330" s="10" t="s">
        <v>385</v>
      </c>
      <c r="S330" s="11"/>
      <c r="T330" s="6"/>
      <c r="U330" s="27" t="str">
        <f>HYPERLINK("https://media.infra-m.ru/1839/1839705/cover/1839705.jpg", "Обложка")</f>
        <v>Обложка</v>
      </c>
      <c r="V330" s="27" t="str">
        <f>HYPERLINK("https://znanium.com/catalog/product/1839705", "Ознакомиться")</f>
        <v>Ознакомиться</v>
      </c>
      <c r="W330" s="8" t="s">
        <v>143</v>
      </c>
      <c r="X330" s="6"/>
      <c r="Y330" s="6"/>
      <c r="Z330" s="6"/>
      <c r="AA330" s="6" t="s">
        <v>208</v>
      </c>
    </row>
    <row r="331" spans="1:27" s="4" customFormat="1" ht="51.95" customHeight="1">
      <c r="A331" s="5">
        <v>0</v>
      </c>
      <c r="B331" s="6" t="s">
        <v>2139</v>
      </c>
      <c r="C331" s="13">
        <v>484</v>
      </c>
      <c r="D331" s="8" t="s">
        <v>2140</v>
      </c>
      <c r="E331" s="8" t="s">
        <v>2141</v>
      </c>
      <c r="F331" s="8" t="s">
        <v>2142</v>
      </c>
      <c r="G331" s="6" t="s">
        <v>53</v>
      </c>
      <c r="H331" s="6" t="s">
        <v>608</v>
      </c>
      <c r="I331" s="8" t="s">
        <v>183</v>
      </c>
      <c r="J331" s="9">
        <v>1</v>
      </c>
      <c r="K331" s="9">
        <v>95</v>
      </c>
      <c r="L331" s="9">
        <v>2024</v>
      </c>
      <c r="M331" s="8" t="s">
        <v>2143</v>
      </c>
      <c r="N331" s="8" t="s">
        <v>56</v>
      </c>
      <c r="O331" s="8" t="s">
        <v>57</v>
      </c>
      <c r="P331" s="6" t="s">
        <v>77</v>
      </c>
      <c r="Q331" s="8" t="s">
        <v>89</v>
      </c>
      <c r="R331" s="10" t="s">
        <v>2144</v>
      </c>
      <c r="S331" s="11"/>
      <c r="T331" s="6"/>
      <c r="U331" s="27" t="str">
        <f>HYPERLINK("https://media.infra-m.ru/2118/2118637/cover/2118637.jpg", "Обложка")</f>
        <v>Обложка</v>
      </c>
      <c r="V331" s="27" t="str">
        <f>HYPERLINK("https://znanium.com/catalog/product/2116870", "Ознакомиться")</f>
        <v>Ознакомиться</v>
      </c>
      <c r="W331" s="8" t="s">
        <v>2145</v>
      </c>
      <c r="X331" s="6"/>
      <c r="Y331" s="6"/>
      <c r="Z331" s="6"/>
      <c r="AA331" s="6" t="s">
        <v>136</v>
      </c>
    </row>
    <row r="332" spans="1:27" s="4" customFormat="1" ht="42" customHeight="1">
      <c r="A332" s="5">
        <v>0</v>
      </c>
      <c r="B332" s="6" t="s">
        <v>2146</v>
      </c>
      <c r="C332" s="13">
        <v>650</v>
      </c>
      <c r="D332" s="8" t="s">
        <v>2147</v>
      </c>
      <c r="E332" s="8" t="s">
        <v>2148</v>
      </c>
      <c r="F332" s="8" t="s">
        <v>2149</v>
      </c>
      <c r="G332" s="6" t="s">
        <v>53</v>
      </c>
      <c r="H332" s="6" t="s">
        <v>608</v>
      </c>
      <c r="I332" s="8" t="s">
        <v>183</v>
      </c>
      <c r="J332" s="9">
        <v>1</v>
      </c>
      <c r="K332" s="9">
        <v>136</v>
      </c>
      <c r="L332" s="9">
        <v>2024</v>
      </c>
      <c r="M332" s="8" t="s">
        <v>2150</v>
      </c>
      <c r="N332" s="8" t="s">
        <v>56</v>
      </c>
      <c r="O332" s="8" t="s">
        <v>57</v>
      </c>
      <c r="P332" s="6" t="s">
        <v>77</v>
      </c>
      <c r="Q332" s="8" t="s">
        <v>740</v>
      </c>
      <c r="R332" s="10" t="s">
        <v>2151</v>
      </c>
      <c r="S332" s="11"/>
      <c r="T332" s="6"/>
      <c r="U332" s="27" t="str">
        <f>HYPERLINK("https://media.infra-m.ru/2089/2089368/cover/2089368.jpg", "Обложка")</f>
        <v>Обложка</v>
      </c>
      <c r="V332" s="27" t="str">
        <f>HYPERLINK("https://znanium.com/catalog/product/2089368", "Ознакомиться")</f>
        <v>Ознакомиться</v>
      </c>
      <c r="W332" s="8" t="s">
        <v>2145</v>
      </c>
      <c r="X332" s="6"/>
      <c r="Y332" s="6"/>
      <c r="Z332" s="6"/>
      <c r="AA332" s="6" t="s">
        <v>136</v>
      </c>
    </row>
    <row r="333" spans="1:27" s="4" customFormat="1" ht="51.95" customHeight="1">
      <c r="A333" s="5">
        <v>0</v>
      </c>
      <c r="B333" s="6" t="s">
        <v>2152</v>
      </c>
      <c r="C333" s="7">
        <v>1230</v>
      </c>
      <c r="D333" s="8" t="s">
        <v>2153</v>
      </c>
      <c r="E333" s="8" t="s">
        <v>2154</v>
      </c>
      <c r="F333" s="8" t="s">
        <v>2155</v>
      </c>
      <c r="G333" s="6" t="s">
        <v>37</v>
      </c>
      <c r="H333" s="6" t="s">
        <v>38</v>
      </c>
      <c r="I333" s="8" t="s">
        <v>738</v>
      </c>
      <c r="J333" s="9">
        <v>1</v>
      </c>
      <c r="K333" s="9">
        <v>273</v>
      </c>
      <c r="L333" s="9">
        <v>2023</v>
      </c>
      <c r="M333" s="8" t="s">
        <v>2156</v>
      </c>
      <c r="N333" s="8" t="s">
        <v>56</v>
      </c>
      <c r="O333" s="8" t="s">
        <v>57</v>
      </c>
      <c r="P333" s="6" t="s">
        <v>77</v>
      </c>
      <c r="Q333" s="8" t="s">
        <v>740</v>
      </c>
      <c r="R333" s="10" t="s">
        <v>2157</v>
      </c>
      <c r="S333" s="11" t="s">
        <v>2158</v>
      </c>
      <c r="T333" s="6"/>
      <c r="U333" s="27" t="str">
        <f>HYPERLINK("https://media.infra-m.ru/1911/1911115/cover/1911115.jpg", "Обложка")</f>
        <v>Обложка</v>
      </c>
      <c r="V333" s="27" t="str">
        <f>HYPERLINK("https://znanium.com/catalog/product/1911115", "Ознакомиться")</f>
        <v>Ознакомиться</v>
      </c>
      <c r="W333" s="8" t="s">
        <v>371</v>
      </c>
      <c r="X333" s="6"/>
      <c r="Y333" s="6"/>
      <c r="Z333" s="6"/>
      <c r="AA333" s="6" t="s">
        <v>372</v>
      </c>
    </row>
    <row r="334" spans="1:27" s="4" customFormat="1" ht="51.95" customHeight="1">
      <c r="A334" s="5">
        <v>0</v>
      </c>
      <c r="B334" s="6" t="s">
        <v>2159</v>
      </c>
      <c r="C334" s="7">
        <v>1100</v>
      </c>
      <c r="D334" s="8" t="s">
        <v>2160</v>
      </c>
      <c r="E334" s="8" t="s">
        <v>2161</v>
      </c>
      <c r="F334" s="8" t="s">
        <v>1936</v>
      </c>
      <c r="G334" s="6" t="s">
        <v>53</v>
      </c>
      <c r="H334" s="6" t="s">
        <v>87</v>
      </c>
      <c r="I334" s="8" t="s">
        <v>183</v>
      </c>
      <c r="J334" s="9">
        <v>1</v>
      </c>
      <c r="K334" s="9">
        <v>240</v>
      </c>
      <c r="L334" s="9">
        <v>2024</v>
      </c>
      <c r="M334" s="8" t="s">
        <v>2162</v>
      </c>
      <c r="N334" s="8" t="s">
        <v>56</v>
      </c>
      <c r="O334" s="8" t="s">
        <v>57</v>
      </c>
      <c r="P334" s="6" t="s">
        <v>77</v>
      </c>
      <c r="Q334" s="8" t="s">
        <v>316</v>
      </c>
      <c r="R334" s="10" t="s">
        <v>347</v>
      </c>
      <c r="S334" s="11" t="s">
        <v>2163</v>
      </c>
      <c r="T334" s="6"/>
      <c r="U334" s="27" t="str">
        <f>HYPERLINK("https://media.infra-m.ru/2057/2057645/cover/2057645.jpg", "Обложка")</f>
        <v>Обложка</v>
      </c>
      <c r="V334" s="27" t="str">
        <f>HYPERLINK("https://znanium.com/catalog/product/2057645", "Ознакомиться")</f>
        <v>Ознакомиться</v>
      </c>
      <c r="W334" s="8" t="s">
        <v>1938</v>
      </c>
      <c r="X334" s="6"/>
      <c r="Y334" s="6"/>
      <c r="Z334" s="6"/>
      <c r="AA334" s="6" t="s">
        <v>208</v>
      </c>
    </row>
    <row r="335" spans="1:27" s="4" customFormat="1" ht="51.95" customHeight="1">
      <c r="A335" s="5">
        <v>0</v>
      </c>
      <c r="B335" s="6" t="s">
        <v>2164</v>
      </c>
      <c r="C335" s="7">
        <v>1514</v>
      </c>
      <c r="D335" s="8" t="s">
        <v>2165</v>
      </c>
      <c r="E335" s="8" t="s">
        <v>2166</v>
      </c>
      <c r="F335" s="8" t="s">
        <v>458</v>
      </c>
      <c r="G335" s="6" t="s">
        <v>53</v>
      </c>
      <c r="H335" s="6" t="s">
        <v>38</v>
      </c>
      <c r="I335" s="8" t="s">
        <v>54</v>
      </c>
      <c r="J335" s="9">
        <v>1</v>
      </c>
      <c r="K335" s="9">
        <v>330</v>
      </c>
      <c r="L335" s="9">
        <v>2024</v>
      </c>
      <c r="M335" s="8" t="s">
        <v>2167</v>
      </c>
      <c r="N335" s="8" t="s">
        <v>56</v>
      </c>
      <c r="O335" s="8" t="s">
        <v>57</v>
      </c>
      <c r="P335" s="6" t="s">
        <v>58</v>
      </c>
      <c r="Q335" s="8" t="s">
        <v>44</v>
      </c>
      <c r="R335" s="10" t="s">
        <v>2168</v>
      </c>
      <c r="S335" s="11"/>
      <c r="T335" s="6" t="s">
        <v>46</v>
      </c>
      <c r="U335" s="27" t="str">
        <f>HYPERLINK("https://media.infra-m.ru/2103/2103131/cover/2103131.jpg", "Обложка")</f>
        <v>Обложка</v>
      </c>
      <c r="V335" s="27" t="str">
        <f>HYPERLINK("https://znanium.com/catalog/product/1290960", "Ознакомиться")</f>
        <v>Ознакомиться</v>
      </c>
      <c r="W335" s="8" t="s">
        <v>454</v>
      </c>
      <c r="X335" s="6"/>
      <c r="Y335" s="6"/>
      <c r="Z335" s="6"/>
      <c r="AA335" s="6" t="s">
        <v>101</v>
      </c>
    </row>
    <row r="336" spans="1:27" s="4" customFormat="1" ht="42" customHeight="1">
      <c r="A336" s="5">
        <v>0</v>
      </c>
      <c r="B336" s="6" t="s">
        <v>2169</v>
      </c>
      <c r="C336" s="13">
        <v>574.9</v>
      </c>
      <c r="D336" s="8" t="s">
        <v>2170</v>
      </c>
      <c r="E336" s="8" t="s">
        <v>2171</v>
      </c>
      <c r="F336" s="8" t="s">
        <v>2172</v>
      </c>
      <c r="G336" s="6" t="s">
        <v>165</v>
      </c>
      <c r="H336" s="6" t="s">
        <v>38</v>
      </c>
      <c r="I336" s="8" t="s">
        <v>54</v>
      </c>
      <c r="J336" s="9">
        <v>30</v>
      </c>
      <c r="K336" s="9">
        <v>186</v>
      </c>
      <c r="L336" s="9">
        <v>2018</v>
      </c>
      <c r="M336" s="8" t="s">
        <v>2173</v>
      </c>
      <c r="N336" s="8" t="s">
        <v>56</v>
      </c>
      <c r="O336" s="8" t="s">
        <v>57</v>
      </c>
      <c r="P336" s="6" t="s">
        <v>58</v>
      </c>
      <c r="Q336" s="8" t="s">
        <v>44</v>
      </c>
      <c r="R336" s="10" t="s">
        <v>385</v>
      </c>
      <c r="S336" s="11"/>
      <c r="T336" s="6"/>
      <c r="U336" s="27" t="str">
        <f>HYPERLINK("https://media.infra-m.ru/0935/0935565/cover/935565.jpg", "Обложка")</f>
        <v>Обложка</v>
      </c>
      <c r="V336" s="27" t="str">
        <f>HYPERLINK("https://znanium.com/catalog/product/935565", "Ознакомиться")</f>
        <v>Ознакомиться</v>
      </c>
      <c r="W336" s="8"/>
      <c r="X336" s="6"/>
      <c r="Y336" s="6"/>
      <c r="Z336" s="6"/>
      <c r="AA336" s="6" t="s">
        <v>109</v>
      </c>
    </row>
    <row r="337" spans="1:27" s="4" customFormat="1" ht="51.95" customHeight="1">
      <c r="A337" s="5">
        <v>0</v>
      </c>
      <c r="B337" s="6" t="s">
        <v>2174</v>
      </c>
      <c r="C337" s="7">
        <v>1850</v>
      </c>
      <c r="D337" s="8" t="s">
        <v>2175</v>
      </c>
      <c r="E337" s="8" t="s">
        <v>2176</v>
      </c>
      <c r="F337" s="8" t="s">
        <v>398</v>
      </c>
      <c r="G337" s="6" t="s">
        <v>165</v>
      </c>
      <c r="H337" s="6" t="s">
        <v>38</v>
      </c>
      <c r="I337" s="8" t="s">
        <v>183</v>
      </c>
      <c r="J337" s="9">
        <v>1</v>
      </c>
      <c r="K337" s="9">
        <v>401</v>
      </c>
      <c r="L337" s="9">
        <v>2024</v>
      </c>
      <c r="M337" s="8" t="s">
        <v>2177</v>
      </c>
      <c r="N337" s="8" t="s">
        <v>41</v>
      </c>
      <c r="O337" s="8" t="s">
        <v>42</v>
      </c>
      <c r="P337" s="6" t="s">
        <v>77</v>
      </c>
      <c r="Q337" s="8" t="s">
        <v>89</v>
      </c>
      <c r="R337" s="10" t="s">
        <v>2178</v>
      </c>
      <c r="S337" s="11" t="s">
        <v>2179</v>
      </c>
      <c r="T337" s="6"/>
      <c r="U337" s="27" t="str">
        <f>HYPERLINK("https://media.infra-m.ru/2119/2119105/cover/2119105.jpg", "Обложка")</f>
        <v>Обложка</v>
      </c>
      <c r="V337" s="27" t="str">
        <f>HYPERLINK("https://znanium.com/catalog/product/2119105", "Ознакомиться")</f>
        <v>Ознакомиться</v>
      </c>
      <c r="W337" s="8" t="s">
        <v>401</v>
      </c>
      <c r="X337" s="6"/>
      <c r="Y337" s="6"/>
      <c r="Z337" s="6"/>
      <c r="AA337" s="6" t="s">
        <v>1600</v>
      </c>
    </row>
    <row r="338" spans="1:27" s="4" customFormat="1" ht="51.95" customHeight="1">
      <c r="A338" s="5">
        <v>0</v>
      </c>
      <c r="B338" s="6" t="s">
        <v>2180</v>
      </c>
      <c r="C338" s="7">
        <v>1850</v>
      </c>
      <c r="D338" s="8" t="s">
        <v>2181</v>
      </c>
      <c r="E338" s="8" t="s">
        <v>2176</v>
      </c>
      <c r="F338" s="8" t="s">
        <v>398</v>
      </c>
      <c r="G338" s="6" t="s">
        <v>165</v>
      </c>
      <c r="H338" s="6" t="s">
        <v>38</v>
      </c>
      <c r="I338" s="8" t="s">
        <v>75</v>
      </c>
      <c r="J338" s="9">
        <v>1</v>
      </c>
      <c r="K338" s="9">
        <v>401</v>
      </c>
      <c r="L338" s="9">
        <v>2024</v>
      </c>
      <c r="M338" s="8" t="s">
        <v>2182</v>
      </c>
      <c r="N338" s="8" t="s">
        <v>41</v>
      </c>
      <c r="O338" s="8" t="s">
        <v>42</v>
      </c>
      <c r="P338" s="6" t="s">
        <v>77</v>
      </c>
      <c r="Q338" s="8" t="s">
        <v>78</v>
      </c>
      <c r="R338" s="10" t="s">
        <v>2183</v>
      </c>
      <c r="S338" s="11" t="s">
        <v>2184</v>
      </c>
      <c r="T338" s="6"/>
      <c r="U338" s="27" t="str">
        <f>HYPERLINK("https://media.infra-m.ru/2100/2100014/cover/2100014.jpg", "Обложка")</f>
        <v>Обложка</v>
      </c>
      <c r="V338" s="27" t="str">
        <f>HYPERLINK("https://znanium.com/catalog/product/2100014", "Ознакомиться")</f>
        <v>Ознакомиться</v>
      </c>
      <c r="W338" s="8" t="s">
        <v>401</v>
      </c>
      <c r="X338" s="6"/>
      <c r="Y338" s="6"/>
      <c r="Z338" s="6" t="s">
        <v>82</v>
      </c>
      <c r="AA338" s="6" t="s">
        <v>1600</v>
      </c>
    </row>
    <row r="339" spans="1:27" s="4" customFormat="1" ht="51.95" customHeight="1">
      <c r="A339" s="5">
        <v>0</v>
      </c>
      <c r="B339" s="6" t="s">
        <v>2185</v>
      </c>
      <c r="C339" s="7">
        <v>1500</v>
      </c>
      <c r="D339" s="8" t="s">
        <v>2186</v>
      </c>
      <c r="E339" s="8" t="s">
        <v>2187</v>
      </c>
      <c r="F339" s="8" t="s">
        <v>239</v>
      </c>
      <c r="G339" s="6" t="s">
        <v>37</v>
      </c>
      <c r="H339" s="6" t="s">
        <v>38</v>
      </c>
      <c r="I339" s="8" t="s">
        <v>173</v>
      </c>
      <c r="J339" s="9">
        <v>1</v>
      </c>
      <c r="K339" s="9">
        <v>334</v>
      </c>
      <c r="L339" s="9">
        <v>2023</v>
      </c>
      <c r="M339" s="8" t="s">
        <v>2188</v>
      </c>
      <c r="N339" s="8" t="s">
        <v>56</v>
      </c>
      <c r="O339" s="8" t="s">
        <v>57</v>
      </c>
      <c r="P339" s="6" t="s">
        <v>77</v>
      </c>
      <c r="Q339" s="8" t="s">
        <v>89</v>
      </c>
      <c r="R339" s="10" t="s">
        <v>2189</v>
      </c>
      <c r="S339" s="11" t="s">
        <v>2190</v>
      </c>
      <c r="T339" s="6"/>
      <c r="U339" s="27" t="str">
        <f>HYPERLINK("https://media.infra-m.ru/1913/1913792/cover/1913792.jpg", "Обложка")</f>
        <v>Обложка</v>
      </c>
      <c r="V339" s="27" t="str">
        <f>HYPERLINK("https://znanium.com/catalog/product/1913792", "Ознакомиться")</f>
        <v>Ознакомиться</v>
      </c>
      <c r="W339" s="8" t="s">
        <v>243</v>
      </c>
      <c r="X339" s="6"/>
      <c r="Y339" s="6"/>
      <c r="Z339" s="6"/>
      <c r="AA339" s="6" t="s">
        <v>189</v>
      </c>
    </row>
    <row r="340" spans="1:27" s="4" customFormat="1" ht="51.95" customHeight="1">
      <c r="A340" s="5">
        <v>0</v>
      </c>
      <c r="B340" s="6" t="s">
        <v>2191</v>
      </c>
      <c r="C340" s="7">
        <v>1050</v>
      </c>
      <c r="D340" s="8" t="s">
        <v>2192</v>
      </c>
      <c r="E340" s="8" t="s">
        <v>2193</v>
      </c>
      <c r="F340" s="8" t="s">
        <v>239</v>
      </c>
      <c r="G340" s="6" t="s">
        <v>37</v>
      </c>
      <c r="H340" s="6" t="s">
        <v>248</v>
      </c>
      <c r="I340" s="8"/>
      <c r="J340" s="9">
        <v>1</v>
      </c>
      <c r="K340" s="9">
        <v>320</v>
      </c>
      <c r="L340" s="9">
        <v>2019</v>
      </c>
      <c r="M340" s="8" t="s">
        <v>2194</v>
      </c>
      <c r="N340" s="8" t="s">
        <v>56</v>
      </c>
      <c r="O340" s="8" t="s">
        <v>57</v>
      </c>
      <c r="P340" s="6" t="s">
        <v>77</v>
      </c>
      <c r="Q340" s="8" t="s">
        <v>89</v>
      </c>
      <c r="R340" s="10" t="s">
        <v>2189</v>
      </c>
      <c r="S340" s="11"/>
      <c r="T340" s="6"/>
      <c r="U340" s="27" t="str">
        <f>HYPERLINK("https://media.infra-m.ru/0982/0982130/cover/982130.jpg", "Обложка")</f>
        <v>Обложка</v>
      </c>
      <c r="V340" s="27" t="str">
        <f>HYPERLINK("https://znanium.com/catalog/product/1913792", "Ознакомиться")</f>
        <v>Ознакомиться</v>
      </c>
      <c r="W340" s="8" t="s">
        <v>243</v>
      </c>
      <c r="X340" s="6"/>
      <c r="Y340" s="6"/>
      <c r="Z340" s="6"/>
      <c r="AA340" s="6" t="s">
        <v>250</v>
      </c>
    </row>
    <row r="341" spans="1:27" s="4" customFormat="1" ht="51.95" customHeight="1">
      <c r="A341" s="5">
        <v>0</v>
      </c>
      <c r="B341" s="6" t="s">
        <v>2195</v>
      </c>
      <c r="C341" s="7">
        <v>1620</v>
      </c>
      <c r="D341" s="8" t="s">
        <v>2196</v>
      </c>
      <c r="E341" s="8" t="s">
        <v>2197</v>
      </c>
      <c r="F341" s="8" t="s">
        <v>2198</v>
      </c>
      <c r="G341" s="6" t="s">
        <v>37</v>
      </c>
      <c r="H341" s="6" t="s">
        <v>38</v>
      </c>
      <c r="I341" s="8" t="s">
        <v>183</v>
      </c>
      <c r="J341" s="9">
        <v>1</v>
      </c>
      <c r="K341" s="9">
        <v>352</v>
      </c>
      <c r="L341" s="9">
        <v>2024</v>
      </c>
      <c r="M341" s="8" t="s">
        <v>2199</v>
      </c>
      <c r="N341" s="8" t="s">
        <v>41</v>
      </c>
      <c r="O341" s="8" t="s">
        <v>42</v>
      </c>
      <c r="P341" s="6" t="s">
        <v>150</v>
      </c>
      <c r="Q341" s="8" t="s">
        <v>89</v>
      </c>
      <c r="R341" s="10" t="s">
        <v>1783</v>
      </c>
      <c r="S341" s="11" t="s">
        <v>2200</v>
      </c>
      <c r="T341" s="6" t="s">
        <v>46</v>
      </c>
      <c r="U341" s="27" t="str">
        <f>HYPERLINK("https://media.infra-m.ru/2103/2103722/cover/2103722.jpg", "Обложка")</f>
        <v>Обложка</v>
      </c>
      <c r="V341" s="27" t="str">
        <f>HYPERLINK("https://znanium.com/catalog/product/2103722", "Ознакомиться")</f>
        <v>Ознакомиться</v>
      </c>
      <c r="W341" s="8" t="s">
        <v>2008</v>
      </c>
      <c r="X341" s="6"/>
      <c r="Y341" s="6"/>
      <c r="Z341" s="6"/>
      <c r="AA341" s="6" t="s">
        <v>550</v>
      </c>
    </row>
    <row r="342" spans="1:27" s="4" customFormat="1" ht="51.95" customHeight="1">
      <c r="A342" s="5">
        <v>0</v>
      </c>
      <c r="B342" s="6" t="s">
        <v>2201</v>
      </c>
      <c r="C342" s="13">
        <v>378</v>
      </c>
      <c r="D342" s="8" t="s">
        <v>2202</v>
      </c>
      <c r="E342" s="8" t="s">
        <v>2197</v>
      </c>
      <c r="F342" s="8" t="s">
        <v>2198</v>
      </c>
      <c r="G342" s="6" t="s">
        <v>53</v>
      </c>
      <c r="H342" s="6" t="s">
        <v>608</v>
      </c>
      <c r="I342" s="8" t="s">
        <v>1876</v>
      </c>
      <c r="J342" s="9">
        <v>1</v>
      </c>
      <c r="K342" s="9">
        <v>112</v>
      </c>
      <c r="L342" s="9">
        <v>2024</v>
      </c>
      <c r="M342" s="8" t="s">
        <v>2203</v>
      </c>
      <c r="N342" s="8" t="s">
        <v>41</v>
      </c>
      <c r="O342" s="8" t="s">
        <v>42</v>
      </c>
      <c r="P342" s="6" t="s">
        <v>77</v>
      </c>
      <c r="Q342" s="8" t="s">
        <v>89</v>
      </c>
      <c r="R342" s="10" t="s">
        <v>2204</v>
      </c>
      <c r="S342" s="11" t="s">
        <v>2205</v>
      </c>
      <c r="T342" s="6"/>
      <c r="U342" s="27" t="str">
        <f>HYPERLINK("https://media.infra-m.ru/2085/2085045/cover/2085045.jpg", "Обложка")</f>
        <v>Обложка</v>
      </c>
      <c r="V342" s="27" t="str">
        <f>HYPERLINK("https://znanium.com/catalog/product/1684738", "Ознакомиться")</f>
        <v>Ознакомиться</v>
      </c>
      <c r="W342" s="8" t="s">
        <v>2008</v>
      </c>
      <c r="X342" s="6"/>
      <c r="Y342" s="6"/>
      <c r="Z342" s="6"/>
      <c r="AA342" s="6" t="s">
        <v>881</v>
      </c>
    </row>
    <row r="343" spans="1:27" s="4" customFormat="1" ht="51.95" customHeight="1">
      <c r="A343" s="5">
        <v>0</v>
      </c>
      <c r="B343" s="6" t="s">
        <v>2206</v>
      </c>
      <c r="C343" s="13">
        <v>720</v>
      </c>
      <c r="D343" s="8" t="s">
        <v>2207</v>
      </c>
      <c r="E343" s="8" t="s">
        <v>2197</v>
      </c>
      <c r="F343" s="8" t="s">
        <v>2208</v>
      </c>
      <c r="G343" s="6" t="s">
        <v>37</v>
      </c>
      <c r="H343" s="6" t="s">
        <v>38</v>
      </c>
      <c r="I343" s="8" t="s">
        <v>173</v>
      </c>
      <c r="J343" s="9">
        <v>1</v>
      </c>
      <c r="K343" s="9">
        <v>160</v>
      </c>
      <c r="L343" s="9">
        <v>2023</v>
      </c>
      <c r="M343" s="8" t="s">
        <v>2209</v>
      </c>
      <c r="N343" s="8" t="s">
        <v>56</v>
      </c>
      <c r="O343" s="8" t="s">
        <v>57</v>
      </c>
      <c r="P343" s="6" t="s">
        <v>77</v>
      </c>
      <c r="Q343" s="8" t="s">
        <v>89</v>
      </c>
      <c r="R343" s="10" t="s">
        <v>2210</v>
      </c>
      <c r="S343" s="11" t="s">
        <v>2211</v>
      </c>
      <c r="T343" s="6" t="s">
        <v>46</v>
      </c>
      <c r="U343" s="27" t="str">
        <f>HYPERLINK("https://media.infra-m.ru/1870/1870756/cover/1870756.jpg", "Обложка")</f>
        <v>Обложка</v>
      </c>
      <c r="V343" s="27" t="str">
        <f>HYPERLINK("https://znanium.com/catalog/product/1870756", "Ознакомиться")</f>
        <v>Ознакомиться</v>
      </c>
      <c r="W343" s="8" t="s">
        <v>2212</v>
      </c>
      <c r="X343" s="6"/>
      <c r="Y343" s="6"/>
      <c r="Z343" s="6"/>
      <c r="AA343" s="6" t="s">
        <v>101</v>
      </c>
    </row>
    <row r="344" spans="1:27" s="4" customFormat="1" ht="51.95" customHeight="1">
      <c r="A344" s="5">
        <v>0</v>
      </c>
      <c r="B344" s="6" t="s">
        <v>2213</v>
      </c>
      <c r="C344" s="7">
        <v>1654.9</v>
      </c>
      <c r="D344" s="8" t="s">
        <v>2214</v>
      </c>
      <c r="E344" s="8" t="s">
        <v>2215</v>
      </c>
      <c r="F344" s="8" t="s">
        <v>2216</v>
      </c>
      <c r="G344" s="6" t="s">
        <v>37</v>
      </c>
      <c r="H344" s="6" t="s">
        <v>248</v>
      </c>
      <c r="I344" s="8"/>
      <c r="J344" s="9">
        <v>1</v>
      </c>
      <c r="K344" s="9">
        <v>368</v>
      </c>
      <c r="L344" s="9">
        <v>2021</v>
      </c>
      <c r="M344" s="8" t="s">
        <v>2217</v>
      </c>
      <c r="N344" s="8" t="s">
        <v>41</v>
      </c>
      <c r="O344" s="8" t="s">
        <v>42</v>
      </c>
      <c r="P344" s="6" t="s">
        <v>77</v>
      </c>
      <c r="Q344" s="8" t="s">
        <v>89</v>
      </c>
      <c r="R344" s="10" t="s">
        <v>1783</v>
      </c>
      <c r="S344" s="11" t="s">
        <v>2218</v>
      </c>
      <c r="T344" s="6"/>
      <c r="U344" s="27" t="str">
        <f>HYPERLINK("https://media.infra-m.ru/1951/1951262/cover/1951262.jpg", "Обложка")</f>
        <v>Обложка</v>
      </c>
      <c r="V344" s="27" t="str">
        <f>HYPERLINK("https://znanium.com/catalog/product/1930669", "Ознакомиться")</f>
        <v>Ознакомиться</v>
      </c>
      <c r="W344" s="8" t="s">
        <v>804</v>
      </c>
      <c r="X344" s="6"/>
      <c r="Y344" s="6"/>
      <c r="Z344" s="6"/>
      <c r="AA344" s="6" t="s">
        <v>117</v>
      </c>
    </row>
    <row r="345" spans="1:27" s="4" customFormat="1" ht="21.95" customHeight="1">
      <c r="A345" s="5">
        <v>0</v>
      </c>
      <c r="B345" s="6" t="s">
        <v>2219</v>
      </c>
      <c r="C345" s="13">
        <v>69.900000000000006</v>
      </c>
      <c r="D345" s="8" t="s">
        <v>2220</v>
      </c>
      <c r="E345" s="8" t="s">
        <v>2197</v>
      </c>
      <c r="F345" s="8"/>
      <c r="G345" s="6" t="s">
        <v>53</v>
      </c>
      <c r="H345" s="6" t="s">
        <v>608</v>
      </c>
      <c r="I345" s="8" t="s">
        <v>1857</v>
      </c>
      <c r="J345" s="9">
        <v>80</v>
      </c>
      <c r="K345" s="9">
        <v>127</v>
      </c>
      <c r="L345" s="9">
        <v>2016</v>
      </c>
      <c r="M345" s="8" t="s">
        <v>2221</v>
      </c>
      <c r="N345" s="8" t="s">
        <v>41</v>
      </c>
      <c r="O345" s="8" t="s">
        <v>42</v>
      </c>
      <c r="P345" s="6" t="s">
        <v>1859</v>
      </c>
      <c r="Q345" s="8" t="s">
        <v>89</v>
      </c>
      <c r="R345" s="10" t="s">
        <v>1783</v>
      </c>
      <c r="S345" s="11"/>
      <c r="T345" s="6"/>
      <c r="U345" s="12"/>
      <c r="V345" s="27" t="str">
        <f>HYPERLINK("https://znanium.com/catalog/product/614911", "Ознакомиться")</f>
        <v>Ознакомиться</v>
      </c>
      <c r="W345" s="8"/>
      <c r="X345" s="6"/>
      <c r="Y345" s="6"/>
      <c r="Z345" s="6"/>
      <c r="AA345" s="6" t="s">
        <v>550</v>
      </c>
    </row>
    <row r="346" spans="1:27" s="4" customFormat="1" ht="51.95" customHeight="1">
      <c r="A346" s="5">
        <v>0</v>
      </c>
      <c r="B346" s="6" t="s">
        <v>2222</v>
      </c>
      <c r="C346" s="7">
        <v>1080</v>
      </c>
      <c r="D346" s="8" t="s">
        <v>2223</v>
      </c>
      <c r="E346" s="8" t="s">
        <v>2224</v>
      </c>
      <c r="F346" s="8" t="s">
        <v>2225</v>
      </c>
      <c r="G346" s="6" t="s">
        <v>53</v>
      </c>
      <c r="H346" s="6" t="s">
        <v>87</v>
      </c>
      <c r="I346" s="8" t="s">
        <v>183</v>
      </c>
      <c r="J346" s="9">
        <v>1</v>
      </c>
      <c r="K346" s="9">
        <v>240</v>
      </c>
      <c r="L346" s="9">
        <v>2023</v>
      </c>
      <c r="M346" s="8" t="s">
        <v>2226</v>
      </c>
      <c r="N346" s="8" t="s">
        <v>56</v>
      </c>
      <c r="O346" s="8" t="s">
        <v>57</v>
      </c>
      <c r="P346" s="6" t="s">
        <v>77</v>
      </c>
      <c r="Q346" s="8" t="s">
        <v>316</v>
      </c>
      <c r="R346" s="10" t="s">
        <v>2227</v>
      </c>
      <c r="S346" s="11" t="s">
        <v>2228</v>
      </c>
      <c r="T346" s="6"/>
      <c r="U346" s="27" t="str">
        <f>HYPERLINK("https://media.infra-m.ru/2000/2000786/cover/2000786.jpg", "Обложка")</f>
        <v>Обложка</v>
      </c>
      <c r="V346" s="27" t="str">
        <f>HYPERLINK("https://znanium.com/catalog/product/2000786", "Ознакомиться")</f>
        <v>Ознакомиться</v>
      </c>
      <c r="W346" s="8" t="s">
        <v>2229</v>
      </c>
      <c r="X346" s="6"/>
      <c r="Y346" s="6"/>
      <c r="Z346" s="6"/>
      <c r="AA346" s="6" t="s">
        <v>109</v>
      </c>
    </row>
    <row r="347" spans="1:27" s="4" customFormat="1" ht="42" customHeight="1">
      <c r="A347" s="5">
        <v>0</v>
      </c>
      <c r="B347" s="6" t="s">
        <v>2230</v>
      </c>
      <c r="C347" s="7">
        <v>1380</v>
      </c>
      <c r="D347" s="8" t="s">
        <v>2231</v>
      </c>
      <c r="E347" s="8" t="s">
        <v>2232</v>
      </c>
      <c r="F347" s="8" t="s">
        <v>2233</v>
      </c>
      <c r="G347" s="6" t="s">
        <v>37</v>
      </c>
      <c r="H347" s="6" t="s">
        <v>608</v>
      </c>
      <c r="I347" s="8" t="s">
        <v>609</v>
      </c>
      <c r="J347" s="9">
        <v>1</v>
      </c>
      <c r="K347" s="9">
        <v>300</v>
      </c>
      <c r="L347" s="9">
        <v>2024</v>
      </c>
      <c r="M347" s="8" t="s">
        <v>2234</v>
      </c>
      <c r="N347" s="8" t="s">
        <v>56</v>
      </c>
      <c r="O347" s="8" t="s">
        <v>57</v>
      </c>
      <c r="P347" s="6" t="s">
        <v>77</v>
      </c>
      <c r="Q347" s="8" t="s">
        <v>89</v>
      </c>
      <c r="R347" s="10" t="s">
        <v>2235</v>
      </c>
      <c r="S347" s="11"/>
      <c r="T347" s="6" t="s">
        <v>46</v>
      </c>
      <c r="U347" s="27" t="str">
        <f>HYPERLINK("https://media.infra-m.ru/1916/1916399/cover/1916399.jpg", "Обложка")</f>
        <v>Обложка</v>
      </c>
      <c r="V347" s="27" t="str">
        <f>HYPERLINK("https://znanium.com/catalog/product/1916399", "Ознакомиться")</f>
        <v>Ознакомиться</v>
      </c>
      <c r="W347" s="8" t="s">
        <v>2128</v>
      </c>
      <c r="X347" s="6"/>
      <c r="Y347" s="6"/>
      <c r="Z347" s="6"/>
      <c r="AA347" s="6" t="s">
        <v>109</v>
      </c>
    </row>
    <row r="348" spans="1:27" s="4" customFormat="1" ht="42" customHeight="1">
      <c r="A348" s="5">
        <v>0</v>
      </c>
      <c r="B348" s="6" t="s">
        <v>2236</v>
      </c>
      <c r="C348" s="7">
        <v>2204</v>
      </c>
      <c r="D348" s="8" t="s">
        <v>2237</v>
      </c>
      <c r="E348" s="8" t="s">
        <v>2238</v>
      </c>
      <c r="F348" s="8" t="s">
        <v>204</v>
      </c>
      <c r="G348" s="6" t="s">
        <v>165</v>
      </c>
      <c r="H348" s="6" t="s">
        <v>38</v>
      </c>
      <c r="I348" s="8" t="s">
        <v>173</v>
      </c>
      <c r="J348" s="9">
        <v>1</v>
      </c>
      <c r="K348" s="9">
        <v>479</v>
      </c>
      <c r="L348" s="9">
        <v>2023</v>
      </c>
      <c r="M348" s="8" t="s">
        <v>2239</v>
      </c>
      <c r="N348" s="8" t="s">
        <v>56</v>
      </c>
      <c r="O348" s="8" t="s">
        <v>57</v>
      </c>
      <c r="P348" s="6" t="s">
        <v>150</v>
      </c>
      <c r="Q348" s="8" t="s">
        <v>89</v>
      </c>
      <c r="R348" s="10" t="s">
        <v>385</v>
      </c>
      <c r="S348" s="11"/>
      <c r="T348" s="6"/>
      <c r="U348" s="27" t="str">
        <f>HYPERLINK("https://media.infra-m.ru/2115/2115208/cover/2115208.jpg", "Обложка")</f>
        <v>Обложка</v>
      </c>
      <c r="V348" s="27" t="str">
        <f>HYPERLINK("https://znanium.com/catalog/product/2110934", "Ознакомиться")</f>
        <v>Ознакомиться</v>
      </c>
      <c r="W348" s="8" t="s">
        <v>207</v>
      </c>
      <c r="X348" s="6"/>
      <c r="Y348" s="6"/>
      <c r="Z348" s="6"/>
      <c r="AA348" s="6" t="s">
        <v>2240</v>
      </c>
    </row>
    <row r="349" spans="1:27" s="4" customFormat="1" ht="44.1" customHeight="1">
      <c r="A349" s="5">
        <v>0</v>
      </c>
      <c r="B349" s="6" t="s">
        <v>2241</v>
      </c>
      <c r="C349" s="13">
        <v>740</v>
      </c>
      <c r="D349" s="8" t="s">
        <v>2242</v>
      </c>
      <c r="E349" s="8" t="s">
        <v>2243</v>
      </c>
      <c r="F349" s="8" t="s">
        <v>2244</v>
      </c>
      <c r="G349" s="6" t="s">
        <v>53</v>
      </c>
      <c r="H349" s="6" t="s">
        <v>87</v>
      </c>
      <c r="I349" s="8"/>
      <c r="J349" s="9">
        <v>1</v>
      </c>
      <c r="K349" s="9">
        <v>159</v>
      </c>
      <c r="L349" s="9">
        <v>2024</v>
      </c>
      <c r="M349" s="8" t="s">
        <v>2245</v>
      </c>
      <c r="N349" s="8" t="s">
        <v>56</v>
      </c>
      <c r="O349" s="8" t="s">
        <v>57</v>
      </c>
      <c r="P349" s="6" t="s">
        <v>58</v>
      </c>
      <c r="Q349" s="8" t="s">
        <v>44</v>
      </c>
      <c r="R349" s="10" t="s">
        <v>502</v>
      </c>
      <c r="S349" s="11"/>
      <c r="T349" s="6"/>
      <c r="U349" s="27" t="str">
        <f>HYPERLINK("https://media.infra-m.ru/2102/2102667/cover/2102667.jpg", "Обложка")</f>
        <v>Обложка</v>
      </c>
      <c r="V349" s="27" t="str">
        <f>HYPERLINK("https://znanium.com/catalog/product/2102667", "Ознакомиться")</f>
        <v>Ознакомиться</v>
      </c>
      <c r="W349" s="8" t="s">
        <v>386</v>
      </c>
      <c r="X349" s="6"/>
      <c r="Y349" s="6"/>
      <c r="Z349" s="6"/>
      <c r="AA349" s="6" t="s">
        <v>208</v>
      </c>
    </row>
    <row r="350" spans="1:27" s="4" customFormat="1" ht="42" customHeight="1">
      <c r="A350" s="5">
        <v>0</v>
      </c>
      <c r="B350" s="6" t="s">
        <v>2246</v>
      </c>
      <c r="C350" s="7">
        <v>1400</v>
      </c>
      <c r="D350" s="8" t="s">
        <v>2247</v>
      </c>
      <c r="E350" s="8" t="s">
        <v>2248</v>
      </c>
      <c r="F350" s="8" t="s">
        <v>2249</v>
      </c>
      <c r="G350" s="6" t="s">
        <v>37</v>
      </c>
      <c r="H350" s="6" t="s">
        <v>608</v>
      </c>
      <c r="I350" s="8" t="s">
        <v>183</v>
      </c>
      <c r="J350" s="9">
        <v>1</v>
      </c>
      <c r="K350" s="9">
        <v>303</v>
      </c>
      <c r="L350" s="9">
        <v>2023</v>
      </c>
      <c r="M350" s="8" t="s">
        <v>2250</v>
      </c>
      <c r="N350" s="8" t="s">
        <v>56</v>
      </c>
      <c r="O350" s="8" t="s">
        <v>57</v>
      </c>
      <c r="P350" s="6" t="s">
        <v>150</v>
      </c>
      <c r="Q350" s="8" t="s">
        <v>316</v>
      </c>
      <c r="R350" s="10" t="s">
        <v>2251</v>
      </c>
      <c r="S350" s="11"/>
      <c r="T350" s="6"/>
      <c r="U350" s="27" t="str">
        <f>HYPERLINK("https://media.infra-m.ru/2020/2020589/cover/2020589.jpg", "Обложка")</f>
        <v>Обложка</v>
      </c>
      <c r="V350" s="27" t="str">
        <f>HYPERLINK("https://znanium.com/catalog/product/2020589", "Ознакомиться")</f>
        <v>Ознакомиться</v>
      </c>
      <c r="W350" s="8" t="s">
        <v>2252</v>
      </c>
      <c r="X350" s="6"/>
      <c r="Y350" s="6"/>
      <c r="Z350" s="6"/>
      <c r="AA350" s="6" t="s">
        <v>48</v>
      </c>
    </row>
    <row r="351" spans="1:27" s="4" customFormat="1" ht="44.1" customHeight="1">
      <c r="A351" s="5">
        <v>0</v>
      </c>
      <c r="B351" s="6" t="s">
        <v>2253</v>
      </c>
      <c r="C351" s="7">
        <v>1044</v>
      </c>
      <c r="D351" s="8" t="s">
        <v>2254</v>
      </c>
      <c r="E351" s="8" t="s">
        <v>2255</v>
      </c>
      <c r="F351" s="8" t="s">
        <v>1339</v>
      </c>
      <c r="G351" s="6" t="s">
        <v>37</v>
      </c>
      <c r="H351" s="6" t="s">
        <v>248</v>
      </c>
      <c r="I351" s="8" t="s">
        <v>248</v>
      </c>
      <c r="J351" s="9">
        <v>1</v>
      </c>
      <c r="K351" s="9">
        <v>228</v>
      </c>
      <c r="L351" s="9">
        <v>2024</v>
      </c>
      <c r="M351" s="8" t="s">
        <v>2256</v>
      </c>
      <c r="N351" s="8" t="s">
        <v>56</v>
      </c>
      <c r="O351" s="8" t="s">
        <v>57</v>
      </c>
      <c r="P351" s="6" t="s">
        <v>2257</v>
      </c>
      <c r="Q351" s="8" t="s">
        <v>89</v>
      </c>
      <c r="R351" s="10" t="s">
        <v>2258</v>
      </c>
      <c r="S351" s="11"/>
      <c r="T351" s="6"/>
      <c r="U351" s="27" t="str">
        <f>HYPERLINK("https://media.infra-m.ru/2083/2083834/cover/2083834.jpg", "Обложка")</f>
        <v>Обложка</v>
      </c>
      <c r="V351" s="27" t="str">
        <f>HYPERLINK("https://znanium.com/catalog/product/1846117", "Ознакомиться")</f>
        <v>Ознакомиться</v>
      </c>
      <c r="W351" s="8" t="s">
        <v>228</v>
      </c>
      <c r="X351" s="6"/>
      <c r="Y351" s="6"/>
      <c r="Z351" s="6"/>
      <c r="AA351" s="6" t="s">
        <v>117</v>
      </c>
    </row>
    <row r="352" spans="1:27" s="4" customFormat="1" ht="42" customHeight="1">
      <c r="A352" s="5">
        <v>0</v>
      </c>
      <c r="B352" s="6" t="s">
        <v>2259</v>
      </c>
      <c r="C352" s="13">
        <v>974.9</v>
      </c>
      <c r="D352" s="8" t="s">
        <v>2260</v>
      </c>
      <c r="E352" s="8" t="s">
        <v>2261</v>
      </c>
      <c r="F352" s="8" t="s">
        <v>2262</v>
      </c>
      <c r="G352" s="6" t="s">
        <v>165</v>
      </c>
      <c r="H352" s="6" t="s">
        <v>38</v>
      </c>
      <c r="I352" s="8" t="s">
        <v>54</v>
      </c>
      <c r="J352" s="9">
        <v>1</v>
      </c>
      <c r="K352" s="9">
        <v>256</v>
      </c>
      <c r="L352" s="9">
        <v>2022</v>
      </c>
      <c r="M352" s="8" t="s">
        <v>2263</v>
      </c>
      <c r="N352" s="8" t="s">
        <v>41</v>
      </c>
      <c r="O352" s="8" t="s">
        <v>42</v>
      </c>
      <c r="P352" s="6" t="s">
        <v>58</v>
      </c>
      <c r="Q352" s="8" t="s">
        <v>2264</v>
      </c>
      <c r="R352" s="10" t="s">
        <v>2265</v>
      </c>
      <c r="S352" s="11"/>
      <c r="T352" s="6"/>
      <c r="U352" s="27" t="str">
        <f>HYPERLINK("https://media.infra-m.ru/1858/1858240/cover/1858240.jpg", "Обложка")</f>
        <v>Обложка</v>
      </c>
      <c r="V352" s="27" t="str">
        <f>HYPERLINK("https://znanium.com/catalog/product/1858240", "Ознакомиться")</f>
        <v>Ознакомиться</v>
      </c>
      <c r="W352" s="8" t="s">
        <v>454</v>
      </c>
      <c r="X352" s="6"/>
      <c r="Y352" s="6"/>
      <c r="Z352" s="6"/>
      <c r="AA352" s="6" t="s">
        <v>48</v>
      </c>
    </row>
    <row r="353" spans="1:27" s="4" customFormat="1" ht="51.95" customHeight="1">
      <c r="A353" s="5">
        <v>0</v>
      </c>
      <c r="B353" s="6" t="s">
        <v>2266</v>
      </c>
      <c r="C353" s="13">
        <v>900</v>
      </c>
      <c r="D353" s="8" t="s">
        <v>2267</v>
      </c>
      <c r="E353" s="8" t="s">
        <v>2268</v>
      </c>
      <c r="F353" s="8" t="s">
        <v>1536</v>
      </c>
      <c r="G353" s="6" t="s">
        <v>37</v>
      </c>
      <c r="H353" s="6" t="s">
        <v>878</v>
      </c>
      <c r="I353" s="8" t="s">
        <v>173</v>
      </c>
      <c r="J353" s="9">
        <v>1</v>
      </c>
      <c r="K353" s="9">
        <v>192</v>
      </c>
      <c r="L353" s="9">
        <v>2023</v>
      </c>
      <c r="M353" s="8" t="s">
        <v>2269</v>
      </c>
      <c r="N353" s="8" t="s">
        <v>56</v>
      </c>
      <c r="O353" s="8" t="s">
        <v>57</v>
      </c>
      <c r="P353" s="6" t="s">
        <v>77</v>
      </c>
      <c r="Q353" s="8" t="s">
        <v>89</v>
      </c>
      <c r="R353" s="10" t="s">
        <v>2270</v>
      </c>
      <c r="S353" s="11" t="s">
        <v>2271</v>
      </c>
      <c r="T353" s="6"/>
      <c r="U353" s="27" t="str">
        <f>HYPERLINK("https://media.infra-m.ru/1912/1912091/cover/1912091.jpg", "Обложка")</f>
        <v>Обложка</v>
      </c>
      <c r="V353" s="27" t="str">
        <f>HYPERLINK("https://znanium.com/catalog/product/1912091", "Ознакомиться")</f>
        <v>Ознакомиться</v>
      </c>
      <c r="W353" s="8" t="s">
        <v>874</v>
      </c>
      <c r="X353" s="6"/>
      <c r="Y353" s="6"/>
      <c r="Z353" s="6" t="s">
        <v>2272</v>
      </c>
      <c r="AA353" s="6" t="s">
        <v>83</v>
      </c>
    </row>
    <row r="354" spans="1:27" s="4" customFormat="1" ht="51.95" customHeight="1">
      <c r="A354" s="5">
        <v>0</v>
      </c>
      <c r="B354" s="6" t="s">
        <v>2273</v>
      </c>
      <c r="C354" s="13">
        <v>870</v>
      </c>
      <c r="D354" s="8" t="s">
        <v>2274</v>
      </c>
      <c r="E354" s="8" t="s">
        <v>2268</v>
      </c>
      <c r="F354" s="8" t="s">
        <v>1536</v>
      </c>
      <c r="G354" s="6" t="s">
        <v>37</v>
      </c>
      <c r="H354" s="6" t="s">
        <v>878</v>
      </c>
      <c r="I354" s="8" t="s">
        <v>75</v>
      </c>
      <c r="J354" s="9">
        <v>1</v>
      </c>
      <c r="K354" s="9">
        <v>192</v>
      </c>
      <c r="L354" s="9">
        <v>2023</v>
      </c>
      <c r="M354" s="8" t="s">
        <v>2275</v>
      </c>
      <c r="N354" s="8" t="s">
        <v>56</v>
      </c>
      <c r="O354" s="8" t="s">
        <v>57</v>
      </c>
      <c r="P354" s="6" t="s">
        <v>77</v>
      </c>
      <c r="Q354" s="8" t="s">
        <v>78</v>
      </c>
      <c r="R354" s="10" t="s">
        <v>2276</v>
      </c>
      <c r="S354" s="11" t="s">
        <v>2277</v>
      </c>
      <c r="T354" s="6"/>
      <c r="U354" s="27" t="str">
        <f>HYPERLINK("https://media.infra-m.ru/1913/1913641/cover/1913641.jpg", "Обложка")</f>
        <v>Обложка</v>
      </c>
      <c r="V354" s="27" t="str">
        <f>HYPERLINK("https://znanium.com/catalog/product/2085093", "Ознакомиться")</f>
        <v>Ознакомиться</v>
      </c>
      <c r="W354" s="8" t="s">
        <v>874</v>
      </c>
      <c r="X354" s="6"/>
      <c r="Y354" s="6"/>
      <c r="Z354" s="6"/>
      <c r="AA354" s="6" t="s">
        <v>2278</v>
      </c>
    </row>
    <row r="355" spans="1:27" s="4" customFormat="1" ht="51.95" customHeight="1">
      <c r="A355" s="5">
        <v>0</v>
      </c>
      <c r="B355" s="6" t="s">
        <v>2279</v>
      </c>
      <c r="C355" s="13">
        <v>820</v>
      </c>
      <c r="D355" s="8" t="s">
        <v>2280</v>
      </c>
      <c r="E355" s="8" t="s">
        <v>2281</v>
      </c>
      <c r="F355" s="8" t="s">
        <v>2282</v>
      </c>
      <c r="G355" s="6" t="s">
        <v>37</v>
      </c>
      <c r="H355" s="6" t="s">
        <v>608</v>
      </c>
      <c r="I355" s="8" t="s">
        <v>839</v>
      </c>
      <c r="J355" s="9">
        <v>1</v>
      </c>
      <c r="K355" s="9">
        <v>176</v>
      </c>
      <c r="L355" s="9">
        <v>2023</v>
      </c>
      <c r="M355" s="8" t="s">
        <v>2283</v>
      </c>
      <c r="N355" s="8" t="s">
        <v>56</v>
      </c>
      <c r="O355" s="8" t="s">
        <v>57</v>
      </c>
      <c r="P355" s="6" t="s">
        <v>584</v>
      </c>
      <c r="Q355" s="8" t="s">
        <v>44</v>
      </c>
      <c r="R355" s="10" t="s">
        <v>2284</v>
      </c>
      <c r="S355" s="11"/>
      <c r="T355" s="6"/>
      <c r="U355" s="27" t="str">
        <f>HYPERLINK("https://media.infra-m.ru/2029/2029832/cover/2029832.jpg", "Обложка")</f>
        <v>Обложка</v>
      </c>
      <c r="V355" s="27" t="str">
        <f>HYPERLINK("https://znanium.com/catalog/product/2029832", "Ознакомиться")</f>
        <v>Ознакомиться</v>
      </c>
      <c r="W355" s="8" t="s">
        <v>2285</v>
      </c>
      <c r="X355" s="6"/>
      <c r="Y355" s="6"/>
      <c r="Z355" s="6"/>
      <c r="AA355" s="6" t="s">
        <v>83</v>
      </c>
    </row>
    <row r="356" spans="1:27" s="4" customFormat="1" ht="42" customHeight="1">
      <c r="A356" s="5">
        <v>0</v>
      </c>
      <c r="B356" s="6" t="s">
        <v>2286</v>
      </c>
      <c r="C356" s="13">
        <v>630</v>
      </c>
      <c r="D356" s="8" t="s">
        <v>2287</v>
      </c>
      <c r="E356" s="8" t="s">
        <v>2288</v>
      </c>
      <c r="F356" s="8" t="s">
        <v>2289</v>
      </c>
      <c r="G356" s="6" t="s">
        <v>53</v>
      </c>
      <c r="H356" s="6" t="s">
        <v>608</v>
      </c>
      <c r="I356" s="8"/>
      <c r="J356" s="9">
        <v>1</v>
      </c>
      <c r="K356" s="9">
        <v>137</v>
      </c>
      <c r="L356" s="9">
        <v>2023</v>
      </c>
      <c r="M356" s="8" t="s">
        <v>2290</v>
      </c>
      <c r="N356" s="8" t="s">
        <v>56</v>
      </c>
      <c r="O356" s="8" t="s">
        <v>57</v>
      </c>
      <c r="P356" s="6" t="s">
        <v>77</v>
      </c>
      <c r="Q356" s="8" t="s">
        <v>89</v>
      </c>
      <c r="R356" s="10" t="s">
        <v>2291</v>
      </c>
      <c r="S356" s="11"/>
      <c r="T356" s="6"/>
      <c r="U356" s="27" t="str">
        <f>HYPERLINK("https://media.infra-m.ru/1871/1871021/cover/1871021.jpg", "Обложка")</f>
        <v>Обложка</v>
      </c>
      <c r="V356" s="27" t="str">
        <f>HYPERLINK("https://znanium.com/catalog/product/1871021", "Ознакомиться")</f>
        <v>Ознакомиться</v>
      </c>
      <c r="W356" s="8" t="s">
        <v>2128</v>
      </c>
      <c r="X356" s="6"/>
      <c r="Y356" s="6"/>
      <c r="Z356" s="6"/>
      <c r="AA356" s="6" t="s">
        <v>48</v>
      </c>
    </row>
    <row r="357" spans="1:27" s="4" customFormat="1" ht="42" customHeight="1">
      <c r="A357" s="5">
        <v>0</v>
      </c>
      <c r="B357" s="6" t="s">
        <v>2292</v>
      </c>
      <c r="C357" s="13">
        <v>840</v>
      </c>
      <c r="D357" s="8" t="s">
        <v>2293</v>
      </c>
      <c r="E357" s="8" t="s">
        <v>2294</v>
      </c>
      <c r="F357" s="8" t="s">
        <v>2295</v>
      </c>
      <c r="G357" s="6" t="s">
        <v>53</v>
      </c>
      <c r="H357" s="6" t="s">
        <v>38</v>
      </c>
      <c r="I357" s="8" t="s">
        <v>54</v>
      </c>
      <c r="J357" s="9">
        <v>1</v>
      </c>
      <c r="K357" s="9">
        <v>215</v>
      </c>
      <c r="L357" s="9">
        <v>2022</v>
      </c>
      <c r="M357" s="8" t="s">
        <v>2296</v>
      </c>
      <c r="N357" s="8" t="s">
        <v>41</v>
      </c>
      <c r="O357" s="8" t="s">
        <v>42</v>
      </c>
      <c r="P357" s="6" t="s">
        <v>58</v>
      </c>
      <c r="Q357" s="8" t="s">
        <v>44</v>
      </c>
      <c r="R357" s="10" t="s">
        <v>2178</v>
      </c>
      <c r="S357" s="11"/>
      <c r="T357" s="6"/>
      <c r="U357" s="27" t="str">
        <f>HYPERLINK("https://media.infra-m.ru/1853/1853856/cover/1853856.jpg", "Обложка")</f>
        <v>Обложка</v>
      </c>
      <c r="V357" s="27" t="str">
        <f>HYPERLINK("https://znanium.com/catalog/product/1853856", "Ознакомиться")</f>
        <v>Ознакомиться</v>
      </c>
      <c r="W357" s="8" t="s">
        <v>401</v>
      </c>
      <c r="X357" s="6"/>
      <c r="Y357" s="6"/>
      <c r="Z357" s="6"/>
      <c r="AA357" s="6" t="s">
        <v>136</v>
      </c>
    </row>
    <row r="358" spans="1:27" s="4" customFormat="1" ht="51.95" customHeight="1">
      <c r="A358" s="5">
        <v>0</v>
      </c>
      <c r="B358" s="6" t="s">
        <v>2297</v>
      </c>
      <c r="C358" s="7">
        <v>1500</v>
      </c>
      <c r="D358" s="8" t="s">
        <v>2298</v>
      </c>
      <c r="E358" s="8" t="s">
        <v>2299</v>
      </c>
      <c r="F358" s="8" t="s">
        <v>2300</v>
      </c>
      <c r="G358" s="6" t="s">
        <v>37</v>
      </c>
      <c r="H358" s="6" t="s">
        <v>38</v>
      </c>
      <c r="I358" s="8" t="s">
        <v>122</v>
      </c>
      <c r="J358" s="9">
        <v>1</v>
      </c>
      <c r="K358" s="9">
        <v>325</v>
      </c>
      <c r="L358" s="9">
        <v>2024</v>
      </c>
      <c r="M358" s="8" t="s">
        <v>2301</v>
      </c>
      <c r="N358" s="8" t="s">
        <v>56</v>
      </c>
      <c r="O358" s="8" t="s">
        <v>57</v>
      </c>
      <c r="P358" s="6" t="s">
        <v>77</v>
      </c>
      <c r="Q358" s="8" t="s">
        <v>124</v>
      </c>
      <c r="R358" s="10" t="s">
        <v>2302</v>
      </c>
      <c r="S358" s="11" t="s">
        <v>2303</v>
      </c>
      <c r="T358" s="6" t="s">
        <v>46</v>
      </c>
      <c r="U358" s="27" t="str">
        <f>HYPERLINK("https://media.infra-m.ru/2072/2072445/cover/2072445.jpg", "Обложка")</f>
        <v>Обложка</v>
      </c>
      <c r="V358" s="27" t="str">
        <f>HYPERLINK("https://znanium.com/catalog/product/2072445", "Ознакомиться")</f>
        <v>Ознакомиться</v>
      </c>
      <c r="W358" s="8" t="s">
        <v>970</v>
      </c>
      <c r="X358" s="6"/>
      <c r="Y358" s="6"/>
      <c r="Z358" s="6"/>
      <c r="AA358" s="6" t="s">
        <v>109</v>
      </c>
    </row>
    <row r="359" spans="1:27" s="4" customFormat="1" ht="51.95" customHeight="1">
      <c r="A359" s="5">
        <v>0</v>
      </c>
      <c r="B359" s="6" t="s">
        <v>2304</v>
      </c>
      <c r="C359" s="7">
        <v>2940</v>
      </c>
      <c r="D359" s="8" t="s">
        <v>2305</v>
      </c>
      <c r="E359" s="8" t="s">
        <v>2306</v>
      </c>
      <c r="F359" s="8" t="s">
        <v>853</v>
      </c>
      <c r="G359" s="6" t="s">
        <v>165</v>
      </c>
      <c r="H359" s="6" t="s">
        <v>38</v>
      </c>
      <c r="I359" s="8" t="s">
        <v>183</v>
      </c>
      <c r="J359" s="9">
        <v>1</v>
      </c>
      <c r="K359" s="9">
        <v>638</v>
      </c>
      <c r="L359" s="9">
        <v>2024</v>
      </c>
      <c r="M359" s="8" t="s">
        <v>2307</v>
      </c>
      <c r="N359" s="8" t="s">
        <v>56</v>
      </c>
      <c r="O359" s="8" t="s">
        <v>57</v>
      </c>
      <c r="P359" s="6" t="s">
        <v>77</v>
      </c>
      <c r="Q359" s="8" t="s">
        <v>89</v>
      </c>
      <c r="R359" s="10" t="s">
        <v>2308</v>
      </c>
      <c r="S359" s="11" t="s">
        <v>1359</v>
      </c>
      <c r="T359" s="6"/>
      <c r="U359" s="27" t="str">
        <f>HYPERLINK("https://media.infra-m.ru/1985/1985770/cover/1985770.jpg", "Обложка")</f>
        <v>Обложка</v>
      </c>
      <c r="V359" s="27" t="str">
        <f>HYPERLINK("https://znanium.com/catalog/product/1985770", "Ознакомиться")</f>
        <v>Ознакомиться</v>
      </c>
      <c r="W359" s="8" t="s">
        <v>638</v>
      </c>
      <c r="X359" s="6"/>
      <c r="Y359" s="6"/>
      <c r="Z359" s="6"/>
      <c r="AA359" s="6" t="s">
        <v>812</v>
      </c>
    </row>
    <row r="360" spans="1:27" s="4" customFormat="1" ht="44.1" customHeight="1">
      <c r="A360" s="5">
        <v>0</v>
      </c>
      <c r="B360" s="6" t="s">
        <v>2309</v>
      </c>
      <c r="C360" s="13">
        <v>864.9</v>
      </c>
      <c r="D360" s="8" t="s">
        <v>2310</v>
      </c>
      <c r="E360" s="8" t="s">
        <v>2311</v>
      </c>
      <c r="F360" s="8" t="s">
        <v>2108</v>
      </c>
      <c r="G360" s="6" t="s">
        <v>53</v>
      </c>
      <c r="H360" s="6" t="s">
        <v>248</v>
      </c>
      <c r="I360" s="8" t="s">
        <v>1067</v>
      </c>
      <c r="J360" s="9">
        <v>5</v>
      </c>
      <c r="K360" s="9">
        <v>192</v>
      </c>
      <c r="L360" s="9">
        <v>2023</v>
      </c>
      <c r="M360" s="8" t="s">
        <v>2312</v>
      </c>
      <c r="N360" s="8" t="s">
        <v>56</v>
      </c>
      <c r="O360" s="8" t="s">
        <v>57</v>
      </c>
      <c r="P360" s="6" t="s">
        <v>58</v>
      </c>
      <c r="Q360" s="8" t="s">
        <v>44</v>
      </c>
      <c r="R360" s="10" t="s">
        <v>460</v>
      </c>
      <c r="S360" s="11"/>
      <c r="T360" s="6"/>
      <c r="U360" s="12"/>
      <c r="V360" s="27" t="str">
        <f>HYPERLINK("https://znanium.com/catalog/product/472477", "Ознакомиться")</f>
        <v>Ознакомиться</v>
      </c>
      <c r="W360" s="8" t="s">
        <v>47</v>
      </c>
      <c r="X360" s="6"/>
      <c r="Y360" s="6"/>
      <c r="Z360" s="6"/>
      <c r="AA360" s="6" t="s">
        <v>208</v>
      </c>
    </row>
    <row r="361" spans="1:27" s="4" customFormat="1" ht="44.1" customHeight="1">
      <c r="A361" s="5">
        <v>0</v>
      </c>
      <c r="B361" s="6" t="s">
        <v>2313</v>
      </c>
      <c r="C361" s="13">
        <v>950</v>
      </c>
      <c r="D361" s="8" t="s">
        <v>2314</v>
      </c>
      <c r="E361" s="8" t="s">
        <v>2311</v>
      </c>
      <c r="F361" s="8" t="s">
        <v>2108</v>
      </c>
      <c r="G361" s="6" t="s">
        <v>165</v>
      </c>
      <c r="H361" s="6" t="s">
        <v>38</v>
      </c>
      <c r="I361" s="8" t="s">
        <v>122</v>
      </c>
      <c r="J361" s="9">
        <v>1</v>
      </c>
      <c r="K361" s="9">
        <v>230</v>
      </c>
      <c r="L361" s="9">
        <v>2021</v>
      </c>
      <c r="M361" s="8" t="s">
        <v>2315</v>
      </c>
      <c r="N361" s="8" t="s">
        <v>56</v>
      </c>
      <c r="O361" s="8" t="s">
        <v>57</v>
      </c>
      <c r="P361" s="6" t="s">
        <v>77</v>
      </c>
      <c r="Q361" s="8" t="s">
        <v>124</v>
      </c>
      <c r="R361" s="10" t="s">
        <v>2316</v>
      </c>
      <c r="S361" s="11"/>
      <c r="T361" s="6"/>
      <c r="U361" s="27" t="str">
        <f>HYPERLINK("https://media.infra-m.ru/1081/1081759/cover/1081759.jpg", "Обложка")</f>
        <v>Обложка</v>
      </c>
      <c r="V361" s="27" t="str">
        <f>HYPERLINK("https://znanium.com/catalog/product/1081759", "Ознакомиться")</f>
        <v>Ознакомиться</v>
      </c>
      <c r="W361" s="8" t="s">
        <v>47</v>
      </c>
      <c r="X361" s="6"/>
      <c r="Y361" s="6"/>
      <c r="Z361" s="6"/>
      <c r="AA361" s="6" t="s">
        <v>128</v>
      </c>
    </row>
    <row r="362" spans="1:27" s="4" customFormat="1" ht="44.1" customHeight="1">
      <c r="A362" s="5">
        <v>0</v>
      </c>
      <c r="B362" s="6" t="s">
        <v>2317</v>
      </c>
      <c r="C362" s="7">
        <v>1160</v>
      </c>
      <c r="D362" s="8" t="s">
        <v>2318</v>
      </c>
      <c r="E362" s="8" t="s">
        <v>2319</v>
      </c>
      <c r="F362" s="8" t="s">
        <v>2320</v>
      </c>
      <c r="G362" s="6" t="s">
        <v>53</v>
      </c>
      <c r="H362" s="6" t="s">
        <v>38</v>
      </c>
      <c r="I362" s="8" t="s">
        <v>54</v>
      </c>
      <c r="J362" s="9">
        <v>1</v>
      </c>
      <c r="K362" s="9">
        <v>251</v>
      </c>
      <c r="L362" s="9">
        <v>2023</v>
      </c>
      <c r="M362" s="8" t="s">
        <v>2321</v>
      </c>
      <c r="N362" s="8" t="s">
        <v>56</v>
      </c>
      <c r="O362" s="8" t="s">
        <v>57</v>
      </c>
      <c r="P362" s="6" t="s">
        <v>58</v>
      </c>
      <c r="Q362" s="8" t="s">
        <v>44</v>
      </c>
      <c r="R362" s="10" t="s">
        <v>2322</v>
      </c>
      <c r="S362" s="11"/>
      <c r="T362" s="6"/>
      <c r="U362" s="27" t="str">
        <f>HYPERLINK("https://media.infra-m.ru/2024/2024030/cover/2024030.jpg", "Обложка")</f>
        <v>Обложка</v>
      </c>
      <c r="V362" s="27" t="str">
        <f>HYPERLINK("https://znanium.com/catalog/product/2024030", "Ознакомиться")</f>
        <v>Ознакомиться</v>
      </c>
      <c r="W362" s="8" t="s">
        <v>228</v>
      </c>
      <c r="X362" s="6"/>
      <c r="Y362" s="6"/>
      <c r="Z362" s="6"/>
      <c r="AA362" s="6" t="s">
        <v>128</v>
      </c>
    </row>
    <row r="363" spans="1:27" s="4" customFormat="1" ht="51.95" customHeight="1">
      <c r="A363" s="5">
        <v>0</v>
      </c>
      <c r="B363" s="6" t="s">
        <v>2323</v>
      </c>
      <c r="C363" s="13">
        <v>660</v>
      </c>
      <c r="D363" s="8" t="s">
        <v>2324</v>
      </c>
      <c r="E363" s="8" t="s">
        <v>2325</v>
      </c>
      <c r="F363" s="8" t="s">
        <v>2326</v>
      </c>
      <c r="G363" s="6" t="s">
        <v>53</v>
      </c>
      <c r="H363" s="6" t="s">
        <v>608</v>
      </c>
      <c r="I363" s="8" t="s">
        <v>893</v>
      </c>
      <c r="J363" s="9">
        <v>1</v>
      </c>
      <c r="K363" s="9">
        <v>224</v>
      </c>
      <c r="L363" s="9">
        <v>2023</v>
      </c>
      <c r="M363" s="8" t="s">
        <v>2327</v>
      </c>
      <c r="N363" s="8" t="s">
        <v>56</v>
      </c>
      <c r="O363" s="8" t="s">
        <v>57</v>
      </c>
      <c r="P363" s="6" t="s">
        <v>77</v>
      </c>
      <c r="Q363" s="8" t="s">
        <v>89</v>
      </c>
      <c r="R363" s="10" t="s">
        <v>2328</v>
      </c>
      <c r="S363" s="11"/>
      <c r="T363" s="6"/>
      <c r="U363" s="27" t="str">
        <f>HYPERLINK("https://media.infra-m.ru/1943/1943456/cover/1943456.jpg", "Обложка")</f>
        <v>Обложка</v>
      </c>
      <c r="V363" s="27" t="str">
        <f>HYPERLINK("https://znanium.com/catalog/product/1943456", "Ознакомиться")</f>
        <v>Ознакомиться</v>
      </c>
      <c r="W363" s="8" t="s">
        <v>2329</v>
      </c>
      <c r="X363" s="6"/>
      <c r="Y363" s="6"/>
      <c r="Z363" s="6"/>
      <c r="AA363" s="6" t="s">
        <v>2240</v>
      </c>
    </row>
    <row r="364" spans="1:27" s="4" customFormat="1" ht="51.95" customHeight="1">
      <c r="A364" s="5">
        <v>0</v>
      </c>
      <c r="B364" s="6" t="s">
        <v>2330</v>
      </c>
      <c r="C364" s="13">
        <v>684.9</v>
      </c>
      <c r="D364" s="8" t="s">
        <v>2331</v>
      </c>
      <c r="E364" s="8" t="s">
        <v>2332</v>
      </c>
      <c r="F364" s="8" t="s">
        <v>2333</v>
      </c>
      <c r="G364" s="6" t="s">
        <v>53</v>
      </c>
      <c r="H364" s="6" t="s">
        <v>87</v>
      </c>
      <c r="I364" s="8"/>
      <c r="J364" s="9">
        <v>1</v>
      </c>
      <c r="K364" s="9">
        <v>152</v>
      </c>
      <c r="L364" s="9">
        <v>2023</v>
      </c>
      <c r="M364" s="8" t="s">
        <v>2334</v>
      </c>
      <c r="N364" s="8" t="s">
        <v>56</v>
      </c>
      <c r="O364" s="8" t="s">
        <v>57</v>
      </c>
      <c r="P364" s="6" t="s">
        <v>77</v>
      </c>
      <c r="Q364" s="8" t="s">
        <v>89</v>
      </c>
      <c r="R364" s="10" t="s">
        <v>2335</v>
      </c>
      <c r="S364" s="11" t="s">
        <v>2336</v>
      </c>
      <c r="T364" s="6"/>
      <c r="U364" s="27" t="str">
        <f>HYPERLINK("https://media.infra-m.ru/1891/1891604/cover/1891604.jpg", "Обложка")</f>
        <v>Обложка</v>
      </c>
      <c r="V364" s="27" t="str">
        <f>HYPERLINK("https://znanium.com/catalog/product/1074811", "Ознакомиться")</f>
        <v>Ознакомиться</v>
      </c>
      <c r="W364" s="8" t="s">
        <v>2337</v>
      </c>
      <c r="X364" s="6"/>
      <c r="Y364" s="6"/>
      <c r="Z364" s="6"/>
      <c r="AA364" s="6" t="s">
        <v>622</v>
      </c>
    </row>
    <row r="365" spans="1:27" s="4" customFormat="1" ht="51.95" customHeight="1">
      <c r="A365" s="5">
        <v>0</v>
      </c>
      <c r="B365" s="6" t="s">
        <v>2338</v>
      </c>
      <c r="C365" s="7">
        <v>1650</v>
      </c>
      <c r="D365" s="8" t="s">
        <v>2339</v>
      </c>
      <c r="E365" s="8" t="s">
        <v>2340</v>
      </c>
      <c r="F365" s="8" t="s">
        <v>2341</v>
      </c>
      <c r="G365" s="6" t="s">
        <v>165</v>
      </c>
      <c r="H365" s="6" t="s">
        <v>38</v>
      </c>
      <c r="I365" s="8" t="s">
        <v>54</v>
      </c>
      <c r="J365" s="9">
        <v>1</v>
      </c>
      <c r="K365" s="9">
        <v>356</v>
      </c>
      <c r="L365" s="9">
        <v>2023</v>
      </c>
      <c r="M365" s="8" t="s">
        <v>2342</v>
      </c>
      <c r="N365" s="8" t="s">
        <v>56</v>
      </c>
      <c r="O365" s="8" t="s">
        <v>57</v>
      </c>
      <c r="P365" s="6" t="s">
        <v>58</v>
      </c>
      <c r="Q365" s="8" t="s">
        <v>44</v>
      </c>
      <c r="R365" s="10" t="s">
        <v>2343</v>
      </c>
      <c r="S365" s="11"/>
      <c r="T365" s="6"/>
      <c r="U365" s="27" t="str">
        <f>HYPERLINK("https://media.infra-m.ru/1971/1971848/cover/1971848.jpg", "Обложка")</f>
        <v>Обложка</v>
      </c>
      <c r="V365" s="27" t="str">
        <f>HYPERLINK("https://znanium.com/catalog/product/1971848", "Ознакомиться")</f>
        <v>Ознакомиться</v>
      </c>
      <c r="W365" s="8" t="s">
        <v>2344</v>
      </c>
      <c r="X365" s="6" t="s">
        <v>1670</v>
      </c>
      <c r="Y365" s="6"/>
      <c r="Z365" s="6"/>
      <c r="AA365" s="6" t="s">
        <v>61</v>
      </c>
    </row>
    <row r="366" spans="1:27" s="4" customFormat="1" ht="51.95" customHeight="1">
      <c r="A366" s="5">
        <v>0</v>
      </c>
      <c r="B366" s="6" t="s">
        <v>2345</v>
      </c>
      <c r="C366" s="7">
        <v>1480</v>
      </c>
      <c r="D366" s="8" t="s">
        <v>2346</v>
      </c>
      <c r="E366" s="8" t="s">
        <v>2347</v>
      </c>
      <c r="F366" s="8" t="s">
        <v>2348</v>
      </c>
      <c r="G366" s="6" t="s">
        <v>37</v>
      </c>
      <c r="H366" s="6" t="s">
        <v>38</v>
      </c>
      <c r="I366" s="8" t="s">
        <v>54</v>
      </c>
      <c r="J366" s="9">
        <v>1</v>
      </c>
      <c r="K366" s="9">
        <v>320</v>
      </c>
      <c r="L366" s="9">
        <v>2024</v>
      </c>
      <c r="M366" s="8" t="s">
        <v>2349</v>
      </c>
      <c r="N366" s="8" t="s">
        <v>56</v>
      </c>
      <c r="O366" s="8" t="s">
        <v>57</v>
      </c>
      <c r="P366" s="6" t="s">
        <v>58</v>
      </c>
      <c r="Q366" s="8" t="s">
        <v>44</v>
      </c>
      <c r="R366" s="10" t="s">
        <v>2350</v>
      </c>
      <c r="S366" s="11"/>
      <c r="T366" s="6"/>
      <c r="U366" s="27" t="str">
        <f>HYPERLINK("https://media.infra-m.ru/2072/2072447/cover/2072447.jpg", "Обложка")</f>
        <v>Обложка</v>
      </c>
      <c r="V366" s="27" t="str">
        <f>HYPERLINK("https://znanium.com/catalog/product/2072447", "Ознакомиться")</f>
        <v>Ознакомиться</v>
      </c>
      <c r="W366" s="8" t="s">
        <v>970</v>
      </c>
      <c r="X366" s="6"/>
      <c r="Y366" s="6"/>
      <c r="Z366" s="6"/>
      <c r="AA366" s="6" t="s">
        <v>101</v>
      </c>
    </row>
    <row r="367" spans="1:27" s="4" customFormat="1" ht="51.95" customHeight="1">
      <c r="A367" s="5">
        <v>0</v>
      </c>
      <c r="B367" s="6" t="s">
        <v>2351</v>
      </c>
      <c r="C367" s="7">
        <v>1740</v>
      </c>
      <c r="D367" s="8" t="s">
        <v>2352</v>
      </c>
      <c r="E367" s="8" t="s">
        <v>2353</v>
      </c>
      <c r="F367" s="8" t="s">
        <v>2354</v>
      </c>
      <c r="G367" s="6" t="s">
        <v>37</v>
      </c>
      <c r="H367" s="6" t="s">
        <v>38</v>
      </c>
      <c r="I367" s="8" t="s">
        <v>183</v>
      </c>
      <c r="J367" s="9">
        <v>1</v>
      </c>
      <c r="K367" s="9">
        <v>378</v>
      </c>
      <c r="L367" s="9">
        <v>2024</v>
      </c>
      <c r="M367" s="8" t="s">
        <v>2355</v>
      </c>
      <c r="N367" s="8" t="s">
        <v>56</v>
      </c>
      <c r="O367" s="8" t="s">
        <v>57</v>
      </c>
      <c r="P367" s="6" t="s">
        <v>77</v>
      </c>
      <c r="Q367" s="8" t="s">
        <v>316</v>
      </c>
      <c r="R367" s="10" t="s">
        <v>2356</v>
      </c>
      <c r="S367" s="11" t="s">
        <v>2357</v>
      </c>
      <c r="T367" s="6"/>
      <c r="U367" s="27" t="str">
        <f>HYPERLINK("https://media.infra-m.ru/2118/2118080/cover/2118080.jpg", "Обложка")</f>
        <v>Обложка</v>
      </c>
      <c r="V367" s="27" t="str">
        <f>HYPERLINK("https://znanium.com/catalog/product/2118080", "Ознакомиться")</f>
        <v>Ознакомиться</v>
      </c>
      <c r="W367" s="8" t="s">
        <v>2358</v>
      </c>
      <c r="X367" s="6"/>
      <c r="Y367" s="6"/>
      <c r="Z367" s="6"/>
      <c r="AA367" s="6" t="s">
        <v>48</v>
      </c>
    </row>
    <row r="368" spans="1:27" s="4" customFormat="1" ht="42" customHeight="1">
      <c r="A368" s="5">
        <v>0</v>
      </c>
      <c r="B368" s="6" t="s">
        <v>2359</v>
      </c>
      <c r="C368" s="7">
        <v>1562</v>
      </c>
      <c r="D368" s="8" t="s">
        <v>2360</v>
      </c>
      <c r="E368" s="8" t="s">
        <v>2361</v>
      </c>
      <c r="F368" s="8" t="s">
        <v>2362</v>
      </c>
      <c r="G368" s="6" t="s">
        <v>53</v>
      </c>
      <c r="H368" s="6" t="s">
        <v>87</v>
      </c>
      <c r="I368" s="8"/>
      <c r="J368" s="9">
        <v>1</v>
      </c>
      <c r="K368" s="9">
        <v>256</v>
      </c>
      <c r="L368" s="9">
        <v>2023</v>
      </c>
      <c r="M368" s="8" t="s">
        <v>2363</v>
      </c>
      <c r="N368" s="8" t="s">
        <v>56</v>
      </c>
      <c r="O368" s="8" t="s">
        <v>57</v>
      </c>
      <c r="P368" s="6" t="s">
        <v>58</v>
      </c>
      <c r="Q368" s="8" t="s">
        <v>44</v>
      </c>
      <c r="R368" s="10" t="s">
        <v>385</v>
      </c>
      <c r="S368" s="11"/>
      <c r="T368" s="6"/>
      <c r="U368" s="27" t="str">
        <f>HYPERLINK("https://media.infra-m.ru/1895/1895670/cover/1895670.jpg", "Обложка")</f>
        <v>Обложка</v>
      </c>
      <c r="V368" s="27" t="str">
        <f>HYPERLINK("https://znanium.com/catalog/product/1895670", "Ознакомиться")</f>
        <v>Ознакомиться</v>
      </c>
      <c r="W368" s="8" t="s">
        <v>386</v>
      </c>
      <c r="X368" s="6"/>
      <c r="Y368" s="6"/>
      <c r="Z368" s="6"/>
      <c r="AA368" s="6" t="s">
        <v>250</v>
      </c>
    </row>
    <row r="369" spans="1:27" s="4" customFormat="1" ht="51.95" customHeight="1">
      <c r="A369" s="5">
        <v>0</v>
      </c>
      <c r="B369" s="6" t="s">
        <v>2364</v>
      </c>
      <c r="C369" s="7">
        <v>2054.9</v>
      </c>
      <c r="D369" s="8" t="s">
        <v>2365</v>
      </c>
      <c r="E369" s="8" t="s">
        <v>2366</v>
      </c>
      <c r="F369" s="8" t="s">
        <v>2367</v>
      </c>
      <c r="G369" s="6" t="s">
        <v>165</v>
      </c>
      <c r="H369" s="6" t="s">
        <v>38</v>
      </c>
      <c r="I369" s="8" t="s">
        <v>183</v>
      </c>
      <c r="J369" s="9">
        <v>1</v>
      </c>
      <c r="K369" s="9">
        <v>436</v>
      </c>
      <c r="L369" s="9">
        <v>2023</v>
      </c>
      <c r="M369" s="8" t="s">
        <v>2368</v>
      </c>
      <c r="N369" s="8" t="s">
        <v>56</v>
      </c>
      <c r="O369" s="8" t="s">
        <v>57</v>
      </c>
      <c r="P369" s="6" t="s">
        <v>77</v>
      </c>
      <c r="Q369" s="8" t="s">
        <v>89</v>
      </c>
      <c r="R369" s="10" t="s">
        <v>2369</v>
      </c>
      <c r="S369" s="11" t="s">
        <v>2370</v>
      </c>
      <c r="T369" s="6" t="s">
        <v>46</v>
      </c>
      <c r="U369" s="27" t="str">
        <f>HYPERLINK("https://media.infra-m.ru/2110/2110924/cover/2110924.jpg", "Обложка")</f>
        <v>Обложка</v>
      </c>
      <c r="V369" s="27" t="str">
        <f>HYPERLINK("https://znanium.com/catalog/product/2102699", "Ознакомиться")</f>
        <v>Ознакомиться</v>
      </c>
      <c r="W369" s="8" t="s">
        <v>2337</v>
      </c>
      <c r="X369" s="6"/>
      <c r="Y369" s="6"/>
      <c r="Z369" s="6"/>
      <c r="AA369" s="6" t="s">
        <v>48</v>
      </c>
    </row>
    <row r="370" spans="1:27" s="4" customFormat="1" ht="51.95" customHeight="1">
      <c r="A370" s="5">
        <v>0</v>
      </c>
      <c r="B370" s="6" t="s">
        <v>2371</v>
      </c>
      <c r="C370" s="7">
        <v>2500</v>
      </c>
      <c r="D370" s="8" t="s">
        <v>2372</v>
      </c>
      <c r="E370" s="8" t="s">
        <v>2373</v>
      </c>
      <c r="F370" s="8" t="s">
        <v>2374</v>
      </c>
      <c r="G370" s="6" t="s">
        <v>165</v>
      </c>
      <c r="H370" s="6" t="s">
        <v>87</v>
      </c>
      <c r="I370" s="8" t="s">
        <v>183</v>
      </c>
      <c r="J370" s="9">
        <v>1</v>
      </c>
      <c r="K370" s="9">
        <v>544</v>
      </c>
      <c r="L370" s="9">
        <v>2024</v>
      </c>
      <c r="M370" s="8" t="s">
        <v>2375</v>
      </c>
      <c r="N370" s="8" t="s">
        <v>56</v>
      </c>
      <c r="O370" s="8" t="s">
        <v>57</v>
      </c>
      <c r="P370" s="6" t="s">
        <v>77</v>
      </c>
      <c r="Q370" s="8" t="s">
        <v>89</v>
      </c>
      <c r="R370" s="10" t="s">
        <v>2376</v>
      </c>
      <c r="S370" s="11" t="s">
        <v>2377</v>
      </c>
      <c r="T370" s="6"/>
      <c r="U370" s="27" t="str">
        <f>HYPERLINK("https://media.infra-m.ru/2103/2103170/cover/2103170.jpg", "Обложка")</f>
        <v>Обложка</v>
      </c>
      <c r="V370" s="27" t="str">
        <f>HYPERLINK("https://znanium.com/catalog/product/2103170", "Ознакомиться")</f>
        <v>Ознакомиться</v>
      </c>
      <c r="W370" s="8" t="s">
        <v>2378</v>
      </c>
      <c r="X370" s="6"/>
      <c r="Y370" s="6"/>
      <c r="Z370" s="6"/>
      <c r="AA370" s="6" t="s">
        <v>250</v>
      </c>
    </row>
    <row r="371" spans="1:27" s="4" customFormat="1" ht="42" customHeight="1">
      <c r="A371" s="5">
        <v>0</v>
      </c>
      <c r="B371" s="6" t="s">
        <v>2379</v>
      </c>
      <c r="C371" s="7">
        <v>1124.9000000000001</v>
      </c>
      <c r="D371" s="8" t="s">
        <v>2380</v>
      </c>
      <c r="E371" s="8" t="s">
        <v>2381</v>
      </c>
      <c r="F371" s="8" t="s">
        <v>1339</v>
      </c>
      <c r="G371" s="6" t="s">
        <v>165</v>
      </c>
      <c r="H371" s="6" t="s">
        <v>248</v>
      </c>
      <c r="I371" s="8"/>
      <c r="J371" s="9">
        <v>1</v>
      </c>
      <c r="K371" s="9">
        <v>251</v>
      </c>
      <c r="L371" s="9">
        <v>2023</v>
      </c>
      <c r="M371" s="8" t="s">
        <v>2382</v>
      </c>
      <c r="N371" s="8" t="s">
        <v>56</v>
      </c>
      <c r="O371" s="8" t="s">
        <v>57</v>
      </c>
      <c r="P371" s="6" t="s">
        <v>77</v>
      </c>
      <c r="Q371" s="8" t="s">
        <v>89</v>
      </c>
      <c r="R371" s="10" t="s">
        <v>1783</v>
      </c>
      <c r="S371" s="11"/>
      <c r="T371" s="6"/>
      <c r="U371" s="27" t="str">
        <f>HYPERLINK("https://media.infra-m.ru/1914/1914065/cover/1914065.jpg", "Обложка")</f>
        <v>Обложка</v>
      </c>
      <c r="V371" s="27" t="str">
        <f>HYPERLINK("https://znanium.com/catalog/product/1112979", "Ознакомиться")</f>
        <v>Ознакомиться</v>
      </c>
      <c r="W371" s="8" t="s">
        <v>228</v>
      </c>
      <c r="X371" s="6"/>
      <c r="Y371" s="6"/>
      <c r="Z371" s="6"/>
      <c r="AA371" s="6" t="s">
        <v>101</v>
      </c>
    </row>
    <row r="372" spans="1:27" s="4" customFormat="1" ht="42" customHeight="1">
      <c r="A372" s="5">
        <v>0</v>
      </c>
      <c r="B372" s="6" t="s">
        <v>2383</v>
      </c>
      <c r="C372" s="7">
        <v>1130</v>
      </c>
      <c r="D372" s="8" t="s">
        <v>2384</v>
      </c>
      <c r="E372" s="8" t="s">
        <v>2381</v>
      </c>
      <c r="F372" s="8" t="s">
        <v>1339</v>
      </c>
      <c r="G372" s="6" t="s">
        <v>37</v>
      </c>
      <c r="H372" s="6" t="s">
        <v>248</v>
      </c>
      <c r="I372" s="8" t="s">
        <v>75</v>
      </c>
      <c r="J372" s="9">
        <v>1</v>
      </c>
      <c r="K372" s="9">
        <v>251</v>
      </c>
      <c r="L372" s="9">
        <v>2023</v>
      </c>
      <c r="M372" s="8" t="s">
        <v>2385</v>
      </c>
      <c r="N372" s="8" t="s">
        <v>56</v>
      </c>
      <c r="O372" s="8" t="s">
        <v>57</v>
      </c>
      <c r="P372" s="6" t="s">
        <v>77</v>
      </c>
      <c r="Q372" s="8" t="s">
        <v>78</v>
      </c>
      <c r="R372" s="10" t="s">
        <v>1777</v>
      </c>
      <c r="S372" s="11"/>
      <c r="T372" s="6"/>
      <c r="U372" s="27" t="str">
        <f>HYPERLINK("https://media.infra-m.ru/1914/1914070/cover/1914070.jpg", "Обложка")</f>
        <v>Обложка</v>
      </c>
      <c r="V372" s="27" t="str">
        <f>HYPERLINK("https://znanium.com/catalog/product/1914070", "Ознакомиться")</f>
        <v>Ознакомиться</v>
      </c>
      <c r="W372" s="8" t="s">
        <v>228</v>
      </c>
      <c r="X372" s="6"/>
      <c r="Y372" s="6"/>
      <c r="Z372" s="6" t="s">
        <v>82</v>
      </c>
      <c r="AA372" s="6" t="s">
        <v>136</v>
      </c>
    </row>
    <row r="373" spans="1:27" s="4" customFormat="1" ht="51.95" customHeight="1">
      <c r="A373" s="5">
        <v>0</v>
      </c>
      <c r="B373" s="6" t="s">
        <v>2386</v>
      </c>
      <c r="C373" s="7">
        <v>1500</v>
      </c>
      <c r="D373" s="8" t="s">
        <v>2387</v>
      </c>
      <c r="E373" s="8" t="s">
        <v>2388</v>
      </c>
      <c r="F373" s="8" t="s">
        <v>204</v>
      </c>
      <c r="G373" s="6" t="s">
        <v>37</v>
      </c>
      <c r="H373" s="6" t="s">
        <v>38</v>
      </c>
      <c r="I373" s="8" t="s">
        <v>173</v>
      </c>
      <c r="J373" s="9">
        <v>1</v>
      </c>
      <c r="K373" s="9">
        <v>332</v>
      </c>
      <c r="L373" s="9">
        <v>2023</v>
      </c>
      <c r="M373" s="8" t="s">
        <v>2389</v>
      </c>
      <c r="N373" s="8" t="s">
        <v>56</v>
      </c>
      <c r="O373" s="8" t="s">
        <v>57</v>
      </c>
      <c r="P373" s="6" t="s">
        <v>150</v>
      </c>
      <c r="Q373" s="8" t="s">
        <v>89</v>
      </c>
      <c r="R373" s="10" t="s">
        <v>2390</v>
      </c>
      <c r="S373" s="11"/>
      <c r="T373" s="6"/>
      <c r="U373" s="27" t="str">
        <f>HYPERLINK("https://media.infra-m.ru/1930/1930690/cover/1930690.jpg", "Обложка")</f>
        <v>Обложка</v>
      </c>
      <c r="V373" s="27" t="str">
        <f>HYPERLINK("https://znanium.com/catalog/product/1930690", "Ознакомиться")</f>
        <v>Ознакомиться</v>
      </c>
      <c r="W373" s="8" t="s">
        <v>207</v>
      </c>
      <c r="X373" s="6"/>
      <c r="Y373" s="6"/>
      <c r="Z373" s="6"/>
      <c r="AA373" s="6" t="s">
        <v>2240</v>
      </c>
    </row>
    <row r="374" spans="1:27" s="4" customFormat="1" ht="44.1" customHeight="1">
      <c r="A374" s="5">
        <v>0</v>
      </c>
      <c r="B374" s="6" t="s">
        <v>2391</v>
      </c>
      <c r="C374" s="13">
        <v>169.9</v>
      </c>
      <c r="D374" s="8" t="s">
        <v>2392</v>
      </c>
      <c r="E374" s="8" t="s">
        <v>2388</v>
      </c>
      <c r="F374" s="8" t="s">
        <v>1856</v>
      </c>
      <c r="G374" s="6" t="s">
        <v>53</v>
      </c>
      <c r="H374" s="6" t="s">
        <v>608</v>
      </c>
      <c r="I374" s="8" t="s">
        <v>1857</v>
      </c>
      <c r="J374" s="9">
        <v>1</v>
      </c>
      <c r="K374" s="9">
        <v>161</v>
      </c>
      <c r="L374" s="9">
        <v>2019</v>
      </c>
      <c r="M374" s="8" t="s">
        <v>2393</v>
      </c>
      <c r="N374" s="8" t="s">
        <v>56</v>
      </c>
      <c r="O374" s="8" t="s">
        <v>57</v>
      </c>
      <c r="P374" s="6" t="s">
        <v>1859</v>
      </c>
      <c r="Q374" s="8" t="s">
        <v>89</v>
      </c>
      <c r="R374" s="10" t="s">
        <v>2394</v>
      </c>
      <c r="S374" s="11"/>
      <c r="T374" s="6"/>
      <c r="U374" s="27" t="str">
        <f>HYPERLINK("https://media.infra-m.ru/0995/0995090/cover/995090.jpg", "Обложка")</f>
        <v>Обложка</v>
      </c>
      <c r="V374" s="27" t="str">
        <f>HYPERLINK("https://znanium.com/catalog/product/995090", "Ознакомиться")</f>
        <v>Ознакомиться</v>
      </c>
      <c r="W374" s="8"/>
      <c r="X374" s="6"/>
      <c r="Y374" s="6"/>
      <c r="Z374" s="6"/>
      <c r="AA374" s="6" t="s">
        <v>117</v>
      </c>
    </row>
    <row r="375" spans="1:27" s="4" customFormat="1" ht="51.95" customHeight="1">
      <c r="A375" s="5">
        <v>0</v>
      </c>
      <c r="B375" s="6" t="s">
        <v>2395</v>
      </c>
      <c r="C375" s="13">
        <v>830</v>
      </c>
      <c r="D375" s="8" t="s">
        <v>2396</v>
      </c>
      <c r="E375" s="8" t="s">
        <v>2397</v>
      </c>
      <c r="F375" s="8" t="s">
        <v>2398</v>
      </c>
      <c r="G375" s="6" t="s">
        <v>37</v>
      </c>
      <c r="H375" s="6" t="s">
        <v>38</v>
      </c>
      <c r="I375" s="8" t="s">
        <v>183</v>
      </c>
      <c r="J375" s="9">
        <v>1</v>
      </c>
      <c r="K375" s="9">
        <v>184</v>
      </c>
      <c r="L375" s="9">
        <v>2023</v>
      </c>
      <c r="M375" s="8" t="s">
        <v>2399</v>
      </c>
      <c r="N375" s="8" t="s">
        <v>41</v>
      </c>
      <c r="O375" s="8" t="s">
        <v>42</v>
      </c>
      <c r="P375" s="6" t="s">
        <v>150</v>
      </c>
      <c r="Q375" s="8" t="s">
        <v>316</v>
      </c>
      <c r="R375" s="10" t="s">
        <v>1075</v>
      </c>
      <c r="S375" s="11" t="s">
        <v>2400</v>
      </c>
      <c r="T375" s="6"/>
      <c r="U375" s="27" t="str">
        <f>HYPERLINK("https://media.infra-m.ru/2061/2061400/cover/2061400.jpg", "Обложка")</f>
        <v>Обложка</v>
      </c>
      <c r="V375" s="27" t="str">
        <f>HYPERLINK("https://znanium.com/catalog/product/1897698", "Ознакомиться")</f>
        <v>Ознакомиться</v>
      </c>
      <c r="W375" s="8" t="s">
        <v>562</v>
      </c>
      <c r="X375" s="6"/>
      <c r="Y375" s="6"/>
      <c r="Z375" s="6"/>
      <c r="AA375" s="6" t="s">
        <v>136</v>
      </c>
    </row>
    <row r="376" spans="1:27" s="4" customFormat="1" ht="42" customHeight="1">
      <c r="A376" s="5">
        <v>0</v>
      </c>
      <c r="B376" s="6" t="s">
        <v>2401</v>
      </c>
      <c r="C376" s="13">
        <v>730</v>
      </c>
      <c r="D376" s="8" t="s">
        <v>2402</v>
      </c>
      <c r="E376" s="8" t="s">
        <v>2403</v>
      </c>
      <c r="F376" s="8" t="s">
        <v>239</v>
      </c>
      <c r="G376" s="6" t="s">
        <v>53</v>
      </c>
      <c r="H376" s="6" t="s">
        <v>38</v>
      </c>
      <c r="I376" s="8" t="s">
        <v>122</v>
      </c>
      <c r="J376" s="9">
        <v>1</v>
      </c>
      <c r="K376" s="9">
        <v>152</v>
      </c>
      <c r="L376" s="9">
        <v>2024</v>
      </c>
      <c r="M376" s="8" t="s">
        <v>2404</v>
      </c>
      <c r="N376" s="8" t="s">
        <v>41</v>
      </c>
      <c r="O376" s="8" t="s">
        <v>42</v>
      </c>
      <c r="P376" s="6" t="s">
        <v>77</v>
      </c>
      <c r="Q376" s="8" t="s">
        <v>124</v>
      </c>
      <c r="R376" s="10" t="s">
        <v>2405</v>
      </c>
      <c r="S376" s="11"/>
      <c r="T376" s="6"/>
      <c r="U376" s="27" t="str">
        <f>HYPERLINK("https://media.infra-m.ru/2075/2075980/cover/2075980.jpg", "Обложка")</f>
        <v>Обложка</v>
      </c>
      <c r="V376" s="27" t="str">
        <f>HYPERLINK("https://znanium.com/catalog/product/2075980", "Ознакомиться")</f>
        <v>Ознакомиться</v>
      </c>
      <c r="W376" s="8" t="s">
        <v>243</v>
      </c>
      <c r="X376" s="6"/>
      <c r="Y376" s="6"/>
      <c r="Z376" s="6"/>
      <c r="AA376" s="6" t="s">
        <v>109</v>
      </c>
    </row>
    <row r="377" spans="1:27" s="4" customFormat="1" ht="51.95" customHeight="1">
      <c r="A377" s="5">
        <v>0</v>
      </c>
      <c r="B377" s="6" t="s">
        <v>2406</v>
      </c>
      <c r="C377" s="7">
        <v>1040</v>
      </c>
      <c r="D377" s="8" t="s">
        <v>2407</v>
      </c>
      <c r="E377" s="8" t="s">
        <v>2408</v>
      </c>
      <c r="F377" s="8" t="s">
        <v>2409</v>
      </c>
      <c r="G377" s="6" t="s">
        <v>37</v>
      </c>
      <c r="H377" s="6" t="s">
        <v>38</v>
      </c>
      <c r="I377" s="8" t="s">
        <v>173</v>
      </c>
      <c r="J377" s="9">
        <v>1</v>
      </c>
      <c r="K377" s="9">
        <v>231</v>
      </c>
      <c r="L377" s="9">
        <v>2023</v>
      </c>
      <c r="M377" s="8" t="s">
        <v>2410</v>
      </c>
      <c r="N377" s="8" t="s">
        <v>41</v>
      </c>
      <c r="O377" s="8" t="s">
        <v>42</v>
      </c>
      <c r="P377" s="6" t="s">
        <v>185</v>
      </c>
      <c r="Q377" s="8" t="s">
        <v>89</v>
      </c>
      <c r="R377" s="10" t="s">
        <v>1756</v>
      </c>
      <c r="S377" s="11" t="s">
        <v>2411</v>
      </c>
      <c r="T377" s="6"/>
      <c r="U377" s="27" t="str">
        <f>HYPERLINK("https://media.infra-m.ru/1915/1915951/cover/1915951.jpg", "Обложка")</f>
        <v>Обложка</v>
      </c>
      <c r="V377" s="27" t="str">
        <f>HYPERLINK("https://znanium.com/catalog/product/1915951", "Ознакомиться")</f>
        <v>Ознакомиться</v>
      </c>
      <c r="W377" s="8" t="s">
        <v>2412</v>
      </c>
      <c r="X377" s="6"/>
      <c r="Y377" s="6"/>
      <c r="Z377" s="6"/>
      <c r="AA377" s="6" t="s">
        <v>128</v>
      </c>
    </row>
    <row r="378" spans="1:27" s="4" customFormat="1" ht="51.95" customHeight="1">
      <c r="A378" s="5">
        <v>0</v>
      </c>
      <c r="B378" s="6" t="s">
        <v>2413</v>
      </c>
      <c r="C378" s="13">
        <v>840</v>
      </c>
      <c r="D378" s="8" t="s">
        <v>2414</v>
      </c>
      <c r="E378" s="8" t="s">
        <v>2415</v>
      </c>
      <c r="F378" s="8" t="s">
        <v>2398</v>
      </c>
      <c r="G378" s="6" t="s">
        <v>37</v>
      </c>
      <c r="H378" s="6" t="s">
        <v>38</v>
      </c>
      <c r="I378" s="8" t="s">
        <v>75</v>
      </c>
      <c r="J378" s="9">
        <v>1</v>
      </c>
      <c r="K378" s="9">
        <v>178</v>
      </c>
      <c r="L378" s="9">
        <v>2024</v>
      </c>
      <c r="M378" s="8" t="s">
        <v>2416</v>
      </c>
      <c r="N378" s="8" t="s">
        <v>41</v>
      </c>
      <c r="O378" s="8" t="s">
        <v>42</v>
      </c>
      <c r="P378" s="6" t="s">
        <v>150</v>
      </c>
      <c r="Q378" s="8" t="s">
        <v>78</v>
      </c>
      <c r="R378" s="10" t="s">
        <v>276</v>
      </c>
      <c r="S378" s="11" t="s">
        <v>2417</v>
      </c>
      <c r="T378" s="6"/>
      <c r="U378" s="27" t="str">
        <f>HYPERLINK("https://media.infra-m.ru/2079/2079296/cover/2079296.jpg", "Обложка")</f>
        <v>Обложка</v>
      </c>
      <c r="V378" s="27" t="str">
        <f>HYPERLINK("https://znanium.com/catalog/product/2079296", "Ознакомиться")</f>
        <v>Ознакомиться</v>
      </c>
      <c r="W378" s="8" t="s">
        <v>562</v>
      </c>
      <c r="X378" s="6"/>
      <c r="Y378" s="6"/>
      <c r="Z378" s="6" t="s">
        <v>579</v>
      </c>
      <c r="AA378" s="6" t="s">
        <v>136</v>
      </c>
    </row>
    <row r="379" spans="1:27" s="4" customFormat="1" ht="44.1" customHeight="1">
      <c r="A379" s="5">
        <v>0</v>
      </c>
      <c r="B379" s="6" t="s">
        <v>2418</v>
      </c>
      <c r="C379" s="7">
        <v>1330</v>
      </c>
      <c r="D379" s="8" t="s">
        <v>2419</v>
      </c>
      <c r="E379" s="8" t="s">
        <v>2420</v>
      </c>
      <c r="F379" s="8" t="s">
        <v>2012</v>
      </c>
      <c r="G379" s="6" t="s">
        <v>53</v>
      </c>
      <c r="H379" s="6" t="s">
        <v>38</v>
      </c>
      <c r="I379" s="8" t="s">
        <v>54</v>
      </c>
      <c r="J379" s="9">
        <v>1</v>
      </c>
      <c r="K379" s="9">
        <v>289</v>
      </c>
      <c r="L379" s="9">
        <v>2024</v>
      </c>
      <c r="M379" s="8" t="s">
        <v>2421</v>
      </c>
      <c r="N379" s="8" t="s">
        <v>41</v>
      </c>
      <c r="O379" s="8" t="s">
        <v>42</v>
      </c>
      <c r="P379" s="6" t="s">
        <v>58</v>
      </c>
      <c r="Q379" s="8" t="s">
        <v>44</v>
      </c>
      <c r="R379" s="10" t="s">
        <v>2422</v>
      </c>
      <c r="S379" s="11"/>
      <c r="T379" s="6"/>
      <c r="U379" s="27" t="str">
        <f>HYPERLINK("https://media.infra-m.ru/2078/2078381/cover/2078381.jpg", "Обложка")</f>
        <v>Обложка</v>
      </c>
      <c r="V379" s="27" t="str">
        <f>HYPERLINK("https://znanium.com/catalog/product/914651", "Ознакомиться")</f>
        <v>Ознакомиться</v>
      </c>
      <c r="W379" s="8" t="s">
        <v>116</v>
      </c>
      <c r="X379" s="6"/>
      <c r="Y379" s="6"/>
      <c r="Z379" s="6"/>
      <c r="AA379" s="6" t="s">
        <v>101</v>
      </c>
    </row>
    <row r="380" spans="1:27" s="4" customFormat="1" ht="51.95" customHeight="1">
      <c r="A380" s="5">
        <v>0</v>
      </c>
      <c r="B380" s="6" t="s">
        <v>2423</v>
      </c>
      <c r="C380" s="13">
        <v>714</v>
      </c>
      <c r="D380" s="8" t="s">
        <v>2424</v>
      </c>
      <c r="E380" s="8" t="s">
        <v>2425</v>
      </c>
      <c r="F380" s="8" t="s">
        <v>2426</v>
      </c>
      <c r="G380" s="6" t="s">
        <v>53</v>
      </c>
      <c r="H380" s="6" t="s">
        <v>38</v>
      </c>
      <c r="I380" s="8" t="s">
        <v>173</v>
      </c>
      <c r="J380" s="9">
        <v>1</v>
      </c>
      <c r="K380" s="9">
        <v>155</v>
      </c>
      <c r="L380" s="9">
        <v>2024</v>
      </c>
      <c r="M380" s="8" t="s">
        <v>2427</v>
      </c>
      <c r="N380" s="8" t="s">
        <v>56</v>
      </c>
      <c r="O380" s="8" t="s">
        <v>57</v>
      </c>
      <c r="P380" s="6" t="s">
        <v>77</v>
      </c>
      <c r="Q380" s="8" t="s">
        <v>89</v>
      </c>
      <c r="R380" s="10" t="s">
        <v>2428</v>
      </c>
      <c r="S380" s="11" t="s">
        <v>2429</v>
      </c>
      <c r="T380" s="6"/>
      <c r="U380" s="27" t="str">
        <f>HYPERLINK("https://media.infra-m.ru/2102/2102680/cover/2102680.jpg", "Обложка")</f>
        <v>Обложка</v>
      </c>
      <c r="V380" s="27" t="str">
        <f>HYPERLINK("https://znanium.com/catalog/product/1144438", "Ознакомиться")</f>
        <v>Ознакомиться</v>
      </c>
      <c r="W380" s="8" t="s">
        <v>2430</v>
      </c>
      <c r="X380" s="6"/>
      <c r="Y380" s="6"/>
      <c r="Z380" s="6"/>
      <c r="AA380" s="6" t="s">
        <v>48</v>
      </c>
    </row>
    <row r="381" spans="1:27" s="4" customFormat="1" ht="51.95" customHeight="1">
      <c r="A381" s="5">
        <v>0</v>
      </c>
      <c r="B381" s="6" t="s">
        <v>2431</v>
      </c>
      <c r="C381" s="7">
        <v>2000</v>
      </c>
      <c r="D381" s="8" t="s">
        <v>2432</v>
      </c>
      <c r="E381" s="8" t="s">
        <v>2433</v>
      </c>
      <c r="F381" s="8" t="s">
        <v>2434</v>
      </c>
      <c r="G381" s="6" t="s">
        <v>165</v>
      </c>
      <c r="H381" s="6" t="s">
        <v>38</v>
      </c>
      <c r="I381" s="8" t="s">
        <v>183</v>
      </c>
      <c r="J381" s="9">
        <v>1</v>
      </c>
      <c r="K381" s="9">
        <v>436</v>
      </c>
      <c r="L381" s="9">
        <v>2023</v>
      </c>
      <c r="M381" s="8" t="s">
        <v>2435</v>
      </c>
      <c r="N381" s="8" t="s">
        <v>56</v>
      </c>
      <c r="O381" s="8" t="s">
        <v>57</v>
      </c>
      <c r="P381" s="6" t="s">
        <v>150</v>
      </c>
      <c r="Q381" s="8" t="s">
        <v>316</v>
      </c>
      <c r="R381" s="10" t="s">
        <v>1050</v>
      </c>
      <c r="S381" s="11" t="s">
        <v>2436</v>
      </c>
      <c r="T381" s="6" t="s">
        <v>46</v>
      </c>
      <c r="U381" s="27" t="str">
        <f>HYPERLINK("https://media.infra-m.ru/2034/2034520/cover/2034520.jpg", "Обложка")</f>
        <v>Обложка</v>
      </c>
      <c r="V381" s="27" t="str">
        <f>HYPERLINK("https://znanium.com/catalog/product/2034520", "Ознакомиться")</f>
        <v>Ознакомиться</v>
      </c>
      <c r="W381" s="8" t="s">
        <v>2378</v>
      </c>
      <c r="X381" s="6"/>
      <c r="Y381" s="6"/>
      <c r="Z381" s="6"/>
      <c r="AA381" s="6" t="s">
        <v>208</v>
      </c>
    </row>
    <row r="382" spans="1:27" s="4" customFormat="1" ht="51.95" customHeight="1">
      <c r="A382" s="5">
        <v>0</v>
      </c>
      <c r="B382" s="6" t="s">
        <v>2437</v>
      </c>
      <c r="C382" s="7">
        <v>1144</v>
      </c>
      <c r="D382" s="8" t="s">
        <v>2438</v>
      </c>
      <c r="E382" s="8" t="s">
        <v>2439</v>
      </c>
      <c r="F382" s="8" t="s">
        <v>2440</v>
      </c>
      <c r="G382" s="6" t="s">
        <v>37</v>
      </c>
      <c r="H382" s="6" t="s">
        <v>38</v>
      </c>
      <c r="I382" s="8" t="s">
        <v>183</v>
      </c>
      <c r="J382" s="9">
        <v>1</v>
      </c>
      <c r="K382" s="9">
        <v>249</v>
      </c>
      <c r="L382" s="9">
        <v>2023</v>
      </c>
      <c r="M382" s="8" t="s">
        <v>2441</v>
      </c>
      <c r="N382" s="8" t="s">
        <v>56</v>
      </c>
      <c r="O382" s="8" t="s">
        <v>57</v>
      </c>
      <c r="P382" s="6" t="s">
        <v>77</v>
      </c>
      <c r="Q382" s="8" t="s">
        <v>89</v>
      </c>
      <c r="R382" s="10" t="s">
        <v>2442</v>
      </c>
      <c r="S382" s="11" t="s">
        <v>2443</v>
      </c>
      <c r="T382" s="6"/>
      <c r="U382" s="27" t="str">
        <f>HYPERLINK("https://media.infra-m.ru/2059/2059577/cover/2059577.jpg", "Обложка")</f>
        <v>Обложка</v>
      </c>
      <c r="V382" s="27" t="str">
        <f>HYPERLINK("https://znanium.com/catalog/product/2001670", "Ознакомиться")</f>
        <v>Ознакомиться</v>
      </c>
      <c r="W382" s="8" t="s">
        <v>341</v>
      </c>
      <c r="X382" s="6"/>
      <c r="Y382" s="6"/>
      <c r="Z382" s="6"/>
      <c r="AA382" s="6" t="s">
        <v>208</v>
      </c>
    </row>
    <row r="383" spans="1:27" s="4" customFormat="1" ht="51.95" customHeight="1">
      <c r="A383" s="5">
        <v>0</v>
      </c>
      <c r="B383" s="6" t="s">
        <v>2444</v>
      </c>
      <c r="C383" s="13">
        <v>720</v>
      </c>
      <c r="D383" s="8" t="s">
        <v>2445</v>
      </c>
      <c r="E383" s="8" t="s">
        <v>2439</v>
      </c>
      <c r="F383" s="8" t="s">
        <v>2446</v>
      </c>
      <c r="G383" s="6" t="s">
        <v>37</v>
      </c>
      <c r="H383" s="6" t="s">
        <v>38</v>
      </c>
      <c r="I383" s="8" t="s">
        <v>183</v>
      </c>
      <c r="J383" s="9">
        <v>1</v>
      </c>
      <c r="K383" s="9">
        <v>155</v>
      </c>
      <c r="L383" s="9">
        <v>2024</v>
      </c>
      <c r="M383" s="8" t="s">
        <v>2447</v>
      </c>
      <c r="N383" s="8" t="s">
        <v>56</v>
      </c>
      <c r="O383" s="8" t="s">
        <v>57</v>
      </c>
      <c r="P383" s="6" t="s">
        <v>77</v>
      </c>
      <c r="Q383" s="8" t="s">
        <v>740</v>
      </c>
      <c r="R383" s="10" t="s">
        <v>2448</v>
      </c>
      <c r="S383" s="11" t="s">
        <v>2449</v>
      </c>
      <c r="T383" s="6"/>
      <c r="U383" s="27" t="str">
        <f>HYPERLINK("https://media.infra-m.ru/2102/2102164/cover/2102164.jpg", "Обложка")</f>
        <v>Обложка</v>
      </c>
      <c r="V383" s="27" t="str">
        <f>HYPERLINK("https://znanium.com/catalog/product/2102164", "Ознакомиться")</f>
        <v>Ознакомиться</v>
      </c>
      <c r="W383" s="8" t="s">
        <v>2450</v>
      </c>
      <c r="X383" s="6"/>
      <c r="Y383" s="6"/>
      <c r="Z383" s="6"/>
      <c r="AA383" s="6" t="s">
        <v>622</v>
      </c>
    </row>
    <row r="384" spans="1:27" s="4" customFormat="1" ht="42" customHeight="1">
      <c r="A384" s="5">
        <v>0</v>
      </c>
      <c r="B384" s="6" t="s">
        <v>2451</v>
      </c>
      <c r="C384" s="7">
        <v>1030</v>
      </c>
      <c r="D384" s="8" t="s">
        <v>2452</v>
      </c>
      <c r="E384" s="8" t="s">
        <v>2453</v>
      </c>
      <c r="F384" s="8" t="s">
        <v>2454</v>
      </c>
      <c r="G384" s="6" t="s">
        <v>53</v>
      </c>
      <c r="H384" s="6" t="s">
        <v>38</v>
      </c>
      <c r="I384" s="8" t="s">
        <v>54</v>
      </c>
      <c r="J384" s="9">
        <v>1</v>
      </c>
      <c r="K384" s="9">
        <v>216</v>
      </c>
      <c r="L384" s="9">
        <v>2023</v>
      </c>
      <c r="M384" s="8" t="s">
        <v>2455</v>
      </c>
      <c r="N384" s="8" t="s">
        <v>41</v>
      </c>
      <c r="O384" s="8" t="s">
        <v>42</v>
      </c>
      <c r="P384" s="6" t="s">
        <v>58</v>
      </c>
      <c r="Q384" s="8" t="s">
        <v>44</v>
      </c>
      <c r="R384" s="10" t="s">
        <v>2456</v>
      </c>
      <c r="S384" s="11"/>
      <c r="T384" s="6"/>
      <c r="U384" s="27" t="str">
        <f>HYPERLINK("https://media.infra-m.ru/1868/1868917/cover/1868917.jpg", "Обложка")</f>
        <v>Обложка</v>
      </c>
      <c r="V384" s="27" t="str">
        <f>HYPERLINK("https://znanium.com/catalog/product/1868917", "Ознакомиться")</f>
        <v>Ознакомиться</v>
      </c>
      <c r="W384" s="8" t="s">
        <v>630</v>
      </c>
      <c r="X384" s="6" t="s">
        <v>2457</v>
      </c>
      <c r="Y384" s="6"/>
      <c r="Z384" s="6"/>
      <c r="AA384" s="6" t="s">
        <v>61</v>
      </c>
    </row>
    <row r="385" spans="1:27" s="4" customFormat="1" ht="42" customHeight="1">
      <c r="A385" s="5">
        <v>0</v>
      </c>
      <c r="B385" s="6" t="s">
        <v>2458</v>
      </c>
      <c r="C385" s="13">
        <v>970</v>
      </c>
      <c r="D385" s="8" t="s">
        <v>2459</v>
      </c>
      <c r="E385" s="8" t="s">
        <v>2460</v>
      </c>
      <c r="F385" s="8" t="s">
        <v>2461</v>
      </c>
      <c r="G385" s="6" t="s">
        <v>37</v>
      </c>
      <c r="H385" s="6" t="s">
        <v>38</v>
      </c>
      <c r="I385" s="8" t="s">
        <v>54</v>
      </c>
      <c r="J385" s="9">
        <v>1</v>
      </c>
      <c r="K385" s="9">
        <v>210</v>
      </c>
      <c r="L385" s="9">
        <v>2024</v>
      </c>
      <c r="M385" s="8" t="s">
        <v>2462</v>
      </c>
      <c r="N385" s="8" t="s">
        <v>41</v>
      </c>
      <c r="O385" s="8" t="s">
        <v>42</v>
      </c>
      <c r="P385" s="6" t="s">
        <v>58</v>
      </c>
      <c r="Q385" s="8" t="s">
        <v>44</v>
      </c>
      <c r="R385" s="10" t="s">
        <v>2463</v>
      </c>
      <c r="S385" s="11"/>
      <c r="T385" s="6"/>
      <c r="U385" s="27" t="str">
        <f>HYPERLINK("https://media.infra-m.ru/2052/2052445/cover/2052445.jpg", "Обложка")</f>
        <v>Обложка</v>
      </c>
      <c r="V385" s="27" t="str">
        <f>HYPERLINK("https://znanium.com/catalog/product/2052445", "Ознакомиться")</f>
        <v>Ознакомиться</v>
      </c>
      <c r="W385" s="8" t="s">
        <v>562</v>
      </c>
      <c r="X385" s="6"/>
      <c r="Y385" s="6"/>
      <c r="Z385" s="6"/>
      <c r="AA385" s="6" t="s">
        <v>109</v>
      </c>
    </row>
    <row r="386" spans="1:27" s="4" customFormat="1" ht="51.95" customHeight="1">
      <c r="A386" s="5">
        <v>0</v>
      </c>
      <c r="B386" s="6" t="s">
        <v>2464</v>
      </c>
      <c r="C386" s="13">
        <v>814</v>
      </c>
      <c r="D386" s="8" t="s">
        <v>2465</v>
      </c>
      <c r="E386" s="8" t="s">
        <v>2466</v>
      </c>
      <c r="F386" s="8" t="s">
        <v>2467</v>
      </c>
      <c r="G386" s="6" t="s">
        <v>53</v>
      </c>
      <c r="H386" s="6" t="s">
        <v>87</v>
      </c>
      <c r="I386" s="8" t="s">
        <v>183</v>
      </c>
      <c r="J386" s="9">
        <v>1</v>
      </c>
      <c r="K386" s="9">
        <v>176</v>
      </c>
      <c r="L386" s="9">
        <v>2024</v>
      </c>
      <c r="M386" s="8" t="s">
        <v>2468</v>
      </c>
      <c r="N386" s="8" t="s">
        <v>41</v>
      </c>
      <c r="O386" s="8" t="s">
        <v>42</v>
      </c>
      <c r="P386" s="6" t="s">
        <v>77</v>
      </c>
      <c r="Q386" s="8" t="s">
        <v>89</v>
      </c>
      <c r="R386" s="10" t="s">
        <v>2469</v>
      </c>
      <c r="S386" s="11"/>
      <c r="T386" s="6"/>
      <c r="U386" s="27" t="str">
        <f>HYPERLINK("https://media.infra-m.ru/2107/2107417/cover/2107417.jpg", "Обложка")</f>
        <v>Обложка</v>
      </c>
      <c r="V386" s="12"/>
      <c r="W386" s="8" t="s">
        <v>503</v>
      </c>
      <c r="X386" s="6"/>
      <c r="Y386" s="6"/>
      <c r="Z386" s="6"/>
      <c r="AA386" s="6" t="s">
        <v>92</v>
      </c>
    </row>
    <row r="387" spans="1:27" s="4" customFormat="1" ht="42" customHeight="1">
      <c r="A387" s="5">
        <v>0</v>
      </c>
      <c r="B387" s="6" t="s">
        <v>2470</v>
      </c>
      <c r="C387" s="13">
        <v>750</v>
      </c>
      <c r="D387" s="8" t="s">
        <v>2471</v>
      </c>
      <c r="E387" s="8" t="s">
        <v>2472</v>
      </c>
      <c r="F387" s="8" t="s">
        <v>2473</v>
      </c>
      <c r="G387" s="6" t="s">
        <v>37</v>
      </c>
      <c r="H387" s="6" t="s">
        <v>38</v>
      </c>
      <c r="I387" s="8" t="s">
        <v>39</v>
      </c>
      <c r="J387" s="9">
        <v>1</v>
      </c>
      <c r="K387" s="9">
        <v>162</v>
      </c>
      <c r="L387" s="9">
        <v>2023</v>
      </c>
      <c r="M387" s="8" t="s">
        <v>2474</v>
      </c>
      <c r="N387" s="8" t="s">
        <v>41</v>
      </c>
      <c r="O387" s="8" t="s">
        <v>42</v>
      </c>
      <c r="P387" s="6" t="s">
        <v>1267</v>
      </c>
      <c r="Q387" s="8" t="s">
        <v>316</v>
      </c>
      <c r="R387" s="10" t="s">
        <v>932</v>
      </c>
      <c r="S387" s="11" t="s">
        <v>2475</v>
      </c>
      <c r="T387" s="6"/>
      <c r="U387" s="27" t="str">
        <f>HYPERLINK("https://media.infra-m.ru/2048/2048139/cover/2048139.jpg", "Обложка")</f>
        <v>Обложка</v>
      </c>
      <c r="V387" s="27" t="str">
        <f>HYPERLINK("https://znanium.com/catalog/product/2048139", "Ознакомиться")</f>
        <v>Ознакомиться</v>
      </c>
      <c r="W387" s="8" t="s">
        <v>562</v>
      </c>
      <c r="X387" s="6"/>
      <c r="Y387" s="6"/>
      <c r="Z387" s="6"/>
      <c r="AA387" s="6" t="s">
        <v>70</v>
      </c>
    </row>
    <row r="388" spans="1:27" s="4" customFormat="1" ht="51.95" customHeight="1">
      <c r="A388" s="5">
        <v>0</v>
      </c>
      <c r="B388" s="6" t="s">
        <v>2476</v>
      </c>
      <c r="C388" s="13">
        <v>560</v>
      </c>
      <c r="D388" s="8" t="s">
        <v>2477</v>
      </c>
      <c r="E388" s="8" t="s">
        <v>2478</v>
      </c>
      <c r="F388" s="8" t="s">
        <v>2479</v>
      </c>
      <c r="G388" s="6" t="s">
        <v>53</v>
      </c>
      <c r="H388" s="6" t="s">
        <v>38</v>
      </c>
      <c r="I388" s="8" t="s">
        <v>2480</v>
      </c>
      <c r="J388" s="9">
        <v>1</v>
      </c>
      <c r="K388" s="9">
        <v>124</v>
      </c>
      <c r="L388" s="9">
        <v>2024</v>
      </c>
      <c r="M388" s="8" t="s">
        <v>2481</v>
      </c>
      <c r="N388" s="8" t="s">
        <v>56</v>
      </c>
      <c r="O388" s="8" t="s">
        <v>57</v>
      </c>
      <c r="P388" s="6" t="s">
        <v>58</v>
      </c>
      <c r="Q388" s="8" t="s">
        <v>44</v>
      </c>
      <c r="R388" s="10" t="s">
        <v>2482</v>
      </c>
      <c r="S388" s="11"/>
      <c r="T388" s="6"/>
      <c r="U388" s="27" t="str">
        <f>HYPERLINK("https://media.infra-m.ru/2048/2048140/cover/2048140.jpg", "Обложка")</f>
        <v>Обложка</v>
      </c>
      <c r="V388" s="27" t="str">
        <f>HYPERLINK("https://znanium.com/catalog/product/2048140", "Ознакомиться")</f>
        <v>Ознакомиться</v>
      </c>
      <c r="W388" s="8" t="s">
        <v>2483</v>
      </c>
      <c r="X388" s="6"/>
      <c r="Y388" s="6"/>
      <c r="Z388" s="6"/>
      <c r="AA388" s="6" t="s">
        <v>70</v>
      </c>
    </row>
    <row r="389" spans="1:27" s="4" customFormat="1" ht="51.95" customHeight="1">
      <c r="A389" s="5">
        <v>0</v>
      </c>
      <c r="B389" s="6" t="s">
        <v>2484</v>
      </c>
      <c r="C389" s="7">
        <v>1060</v>
      </c>
      <c r="D389" s="8" t="s">
        <v>2485</v>
      </c>
      <c r="E389" s="8" t="s">
        <v>2486</v>
      </c>
      <c r="F389" s="8" t="s">
        <v>2487</v>
      </c>
      <c r="G389" s="6" t="s">
        <v>53</v>
      </c>
      <c r="H389" s="6" t="s">
        <v>38</v>
      </c>
      <c r="I389" s="8" t="s">
        <v>54</v>
      </c>
      <c r="J389" s="9">
        <v>1</v>
      </c>
      <c r="K389" s="9">
        <v>271</v>
      </c>
      <c r="L389" s="9">
        <v>2022</v>
      </c>
      <c r="M389" s="8" t="s">
        <v>2488</v>
      </c>
      <c r="N389" s="8" t="s">
        <v>41</v>
      </c>
      <c r="O389" s="8" t="s">
        <v>42</v>
      </c>
      <c r="P389" s="6" t="s">
        <v>58</v>
      </c>
      <c r="Q389" s="8" t="s">
        <v>44</v>
      </c>
      <c r="R389" s="10" t="s">
        <v>619</v>
      </c>
      <c r="S389" s="11"/>
      <c r="T389" s="6"/>
      <c r="U389" s="27" t="str">
        <f>HYPERLINK("https://media.infra-m.ru/1840/1840120/cover/1840120.jpg", "Обложка")</f>
        <v>Обложка</v>
      </c>
      <c r="V389" s="27" t="str">
        <f>HYPERLINK("https://znanium.com/catalog/product/1840120", "Ознакомиться")</f>
        <v>Ознакомиться</v>
      </c>
      <c r="W389" s="8" t="s">
        <v>262</v>
      </c>
      <c r="X389" s="6"/>
      <c r="Y389" s="6"/>
      <c r="Z389" s="6"/>
      <c r="AA389" s="6" t="s">
        <v>101</v>
      </c>
    </row>
    <row r="390" spans="1:27" s="4" customFormat="1" ht="44.1" customHeight="1">
      <c r="A390" s="5">
        <v>0</v>
      </c>
      <c r="B390" s="6" t="s">
        <v>2489</v>
      </c>
      <c r="C390" s="7">
        <v>1664</v>
      </c>
      <c r="D390" s="8" t="s">
        <v>2490</v>
      </c>
      <c r="E390" s="8" t="s">
        <v>2491</v>
      </c>
      <c r="F390" s="8" t="s">
        <v>2492</v>
      </c>
      <c r="G390" s="6" t="s">
        <v>165</v>
      </c>
      <c r="H390" s="6" t="s">
        <v>38</v>
      </c>
      <c r="I390" s="8" t="s">
        <v>54</v>
      </c>
      <c r="J390" s="9">
        <v>1</v>
      </c>
      <c r="K390" s="9">
        <v>361</v>
      </c>
      <c r="L390" s="9">
        <v>2023</v>
      </c>
      <c r="M390" s="8" t="s">
        <v>2493</v>
      </c>
      <c r="N390" s="8" t="s">
        <v>41</v>
      </c>
      <c r="O390" s="8" t="s">
        <v>42</v>
      </c>
      <c r="P390" s="6" t="s">
        <v>58</v>
      </c>
      <c r="Q390" s="8" t="s">
        <v>44</v>
      </c>
      <c r="R390" s="10" t="s">
        <v>295</v>
      </c>
      <c r="S390" s="11"/>
      <c r="T390" s="6" t="s">
        <v>46</v>
      </c>
      <c r="U390" s="27" t="str">
        <f>HYPERLINK("https://media.infra-m.ru/1913/1913613/cover/1913613.jpg", "Обложка")</f>
        <v>Обложка</v>
      </c>
      <c r="V390" s="27" t="str">
        <f>HYPERLINK("https://znanium.com/catalog/product/1857069", "Ознакомиться")</f>
        <v>Ознакомиться</v>
      </c>
      <c r="W390" s="8" t="s">
        <v>116</v>
      </c>
      <c r="X390" s="6"/>
      <c r="Y390" s="6"/>
      <c r="Z390" s="6"/>
      <c r="AA390" s="6" t="s">
        <v>178</v>
      </c>
    </row>
    <row r="391" spans="1:27" s="4" customFormat="1" ht="51.95" customHeight="1">
      <c r="A391" s="5">
        <v>0</v>
      </c>
      <c r="B391" s="6" t="s">
        <v>2494</v>
      </c>
      <c r="C391" s="13">
        <v>840</v>
      </c>
      <c r="D391" s="8" t="s">
        <v>2495</v>
      </c>
      <c r="E391" s="8" t="s">
        <v>2496</v>
      </c>
      <c r="F391" s="8" t="s">
        <v>2497</v>
      </c>
      <c r="G391" s="6" t="s">
        <v>53</v>
      </c>
      <c r="H391" s="6" t="s">
        <v>38</v>
      </c>
      <c r="I391" s="8" t="s">
        <v>54</v>
      </c>
      <c r="J391" s="9">
        <v>1</v>
      </c>
      <c r="K391" s="9">
        <v>183</v>
      </c>
      <c r="L391" s="9">
        <v>2022</v>
      </c>
      <c r="M391" s="8" t="s">
        <v>2498</v>
      </c>
      <c r="N391" s="8" t="s">
        <v>41</v>
      </c>
      <c r="O391" s="8" t="s">
        <v>42</v>
      </c>
      <c r="P391" s="6" t="s">
        <v>58</v>
      </c>
      <c r="Q391" s="8" t="s">
        <v>44</v>
      </c>
      <c r="R391" s="10" t="s">
        <v>2499</v>
      </c>
      <c r="S391" s="11"/>
      <c r="T391" s="6"/>
      <c r="U391" s="27" t="str">
        <f>HYPERLINK("https://media.infra-m.ru/1859/1859605/cover/1859605.jpg", "Обложка")</f>
        <v>Обложка</v>
      </c>
      <c r="V391" s="27" t="str">
        <f>HYPERLINK("https://znanium.com/catalog/product/1859605", "Ознакомиться")</f>
        <v>Ознакомиться</v>
      </c>
      <c r="W391" s="8" t="s">
        <v>785</v>
      </c>
      <c r="X391" s="6"/>
      <c r="Y391" s="6"/>
      <c r="Z391" s="6"/>
      <c r="AA391" s="6" t="s">
        <v>178</v>
      </c>
    </row>
    <row r="392" spans="1:27" s="4" customFormat="1" ht="51.95" customHeight="1">
      <c r="A392" s="5">
        <v>0</v>
      </c>
      <c r="B392" s="6" t="s">
        <v>2500</v>
      </c>
      <c r="C392" s="7">
        <v>1270</v>
      </c>
      <c r="D392" s="8" t="s">
        <v>2501</v>
      </c>
      <c r="E392" s="8" t="s">
        <v>2502</v>
      </c>
      <c r="F392" s="8" t="s">
        <v>2503</v>
      </c>
      <c r="G392" s="6" t="s">
        <v>165</v>
      </c>
      <c r="H392" s="6" t="s">
        <v>38</v>
      </c>
      <c r="I392" s="8" t="s">
        <v>54</v>
      </c>
      <c r="J392" s="9">
        <v>1</v>
      </c>
      <c r="K392" s="9">
        <v>274</v>
      </c>
      <c r="L392" s="9">
        <v>2023</v>
      </c>
      <c r="M392" s="8" t="s">
        <v>2504</v>
      </c>
      <c r="N392" s="8" t="s">
        <v>41</v>
      </c>
      <c r="O392" s="8" t="s">
        <v>42</v>
      </c>
      <c r="P392" s="6" t="s">
        <v>58</v>
      </c>
      <c r="Q392" s="8" t="s">
        <v>44</v>
      </c>
      <c r="R392" s="10" t="s">
        <v>2505</v>
      </c>
      <c r="S392" s="11"/>
      <c r="T392" s="6"/>
      <c r="U392" s="27" t="str">
        <f>HYPERLINK("https://media.infra-m.ru/1989/1989214/cover/1989214.jpg", "Обложка")</f>
        <v>Обложка</v>
      </c>
      <c r="V392" s="27" t="str">
        <f>HYPERLINK("https://znanium.com/catalog/product/1989214", "Ознакомиться")</f>
        <v>Ознакомиться</v>
      </c>
      <c r="W392" s="8" t="s">
        <v>2506</v>
      </c>
      <c r="X392" s="6" t="s">
        <v>334</v>
      </c>
      <c r="Y392" s="6"/>
      <c r="Z392" s="6"/>
      <c r="AA392" s="6" t="s">
        <v>61</v>
      </c>
    </row>
    <row r="393" spans="1:27" s="4" customFormat="1" ht="51.95" customHeight="1">
      <c r="A393" s="5">
        <v>0</v>
      </c>
      <c r="B393" s="6" t="s">
        <v>2507</v>
      </c>
      <c r="C393" s="13">
        <v>590</v>
      </c>
      <c r="D393" s="8" t="s">
        <v>2508</v>
      </c>
      <c r="E393" s="8" t="s">
        <v>2509</v>
      </c>
      <c r="F393" s="8" t="s">
        <v>2510</v>
      </c>
      <c r="G393" s="6" t="s">
        <v>53</v>
      </c>
      <c r="H393" s="6" t="s">
        <v>38</v>
      </c>
      <c r="I393" s="8" t="s">
        <v>54</v>
      </c>
      <c r="J393" s="9">
        <v>1</v>
      </c>
      <c r="K393" s="9">
        <v>126</v>
      </c>
      <c r="L393" s="9">
        <v>2023</v>
      </c>
      <c r="M393" s="8" t="s">
        <v>2511</v>
      </c>
      <c r="N393" s="8" t="s">
        <v>41</v>
      </c>
      <c r="O393" s="8" t="s">
        <v>42</v>
      </c>
      <c r="P393" s="6" t="s">
        <v>58</v>
      </c>
      <c r="Q393" s="8" t="s">
        <v>44</v>
      </c>
      <c r="R393" s="10" t="s">
        <v>2512</v>
      </c>
      <c r="S393" s="11"/>
      <c r="T393" s="6"/>
      <c r="U393" s="27" t="str">
        <f>HYPERLINK("https://media.infra-m.ru/2018/2018247/cover/2018247.jpg", "Обложка")</f>
        <v>Обложка</v>
      </c>
      <c r="V393" s="27" t="str">
        <f>HYPERLINK("https://znanium.com/catalog/product/2018247", "Ознакомиться")</f>
        <v>Ознакомиться</v>
      </c>
      <c r="W393" s="8" t="s">
        <v>483</v>
      </c>
      <c r="X393" s="6"/>
      <c r="Y393" s="6"/>
      <c r="Z393" s="6"/>
      <c r="AA393" s="6" t="s">
        <v>83</v>
      </c>
    </row>
    <row r="394" spans="1:27" s="4" customFormat="1" ht="44.1" customHeight="1">
      <c r="A394" s="5">
        <v>0</v>
      </c>
      <c r="B394" s="6" t="s">
        <v>2513</v>
      </c>
      <c r="C394" s="7">
        <v>1040</v>
      </c>
      <c r="D394" s="8" t="s">
        <v>2514</v>
      </c>
      <c r="E394" s="8" t="s">
        <v>2515</v>
      </c>
      <c r="F394" s="8" t="s">
        <v>2516</v>
      </c>
      <c r="G394" s="6" t="s">
        <v>53</v>
      </c>
      <c r="H394" s="6" t="s">
        <v>38</v>
      </c>
      <c r="I394" s="8" t="s">
        <v>54</v>
      </c>
      <c r="J394" s="9">
        <v>1</v>
      </c>
      <c r="K394" s="9">
        <v>229</v>
      </c>
      <c r="L394" s="9">
        <v>2023</v>
      </c>
      <c r="M394" s="8" t="s">
        <v>2517</v>
      </c>
      <c r="N394" s="8" t="s">
        <v>41</v>
      </c>
      <c r="O394" s="8" t="s">
        <v>42</v>
      </c>
      <c r="P394" s="6" t="s">
        <v>58</v>
      </c>
      <c r="Q394" s="8" t="s">
        <v>44</v>
      </c>
      <c r="R394" s="10" t="s">
        <v>1260</v>
      </c>
      <c r="S394" s="11"/>
      <c r="T394" s="6"/>
      <c r="U394" s="27" t="str">
        <f>HYPERLINK("https://media.infra-m.ru/1876/1876370/cover/1876370.jpg", "Обложка")</f>
        <v>Обложка</v>
      </c>
      <c r="V394" s="27" t="str">
        <f>HYPERLINK("https://znanium.com/catalog/product/1876370", "Ознакомиться")</f>
        <v>Ознакомиться</v>
      </c>
      <c r="W394" s="8" t="s">
        <v>1904</v>
      </c>
      <c r="X394" s="6"/>
      <c r="Y394" s="6"/>
      <c r="Z394" s="6"/>
      <c r="AA394" s="6" t="s">
        <v>61</v>
      </c>
    </row>
    <row r="395" spans="1:27" s="4" customFormat="1" ht="51.95" customHeight="1">
      <c r="A395" s="5">
        <v>0</v>
      </c>
      <c r="B395" s="6" t="s">
        <v>2518</v>
      </c>
      <c r="C395" s="7">
        <v>1380</v>
      </c>
      <c r="D395" s="8" t="s">
        <v>2519</v>
      </c>
      <c r="E395" s="8" t="s">
        <v>2520</v>
      </c>
      <c r="F395" s="8" t="s">
        <v>1035</v>
      </c>
      <c r="G395" s="6" t="s">
        <v>37</v>
      </c>
      <c r="H395" s="6" t="s">
        <v>38</v>
      </c>
      <c r="I395" s="8" t="s">
        <v>75</v>
      </c>
      <c r="J395" s="9">
        <v>1</v>
      </c>
      <c r="K395" s="9">
        <v>300</v>
      </c>
      <c r="L395" s="9">
        <v>2024</v>
      </c>
      <c r="M395" s="8" t="s">
        <v>2521</v>
      </c>
      <c r="N395" s="8" t="s">
        <v>41</v>
      </c>
      <c r="O395" s="8" t="s">
        <v>42</v>
      </c>
      <c r="P395" s="6" t="s">
        <v>77</v>
      </c>
      <c r="Q395" s="8" t="s">
        <v>78</v>
      </c>
      <c r="R395" s="10" t="s">
        <v>2522</v>
      </c>
      <c r="S395" s="11" t="s">
        <v>1582</v>
      </c>
      <c r="T395" s="6"/>
      <c r="U395" s="27" t="str">
        <f>HYPERLINK("https://media.infra-m.ru/2078/2078385/cover/2078385.jpg", "Обложка")</f>
        <v>Обложка</v>
      </c>
      <c r="V395" s="27" t="str">
        <f>HYPERLINK("https://znanium.com/catalog/product/2078385", "Ознакомиться")</f>
        <v>Ознакомиться</v>
      </c>
      <c r="W395" s="8"/>
      <c r="X395" s="6"/>
      <c r="Y395" s="6"/>
      <c r="Z395" s="6" t="s">
        <v>82</v>
      </c>
      <c r="AA395" s="6" t="s">
        <v>189</v>
      </c>
    </row>
    <row r="396" spans="1:27" s="4" customFormat="1" ht="51.95" customHeight="1">
      <c r="A396" s="5">
        <v>0</v>
      </c>
      <c r="B396" s="6" t="s">
        <v>2523</v>
      </c>
      <c r="C396" s="7">
        <v>1380</v>
      </c>
      <c r="D396" s="8" t="s">
        <v>2524</v>
      </c>
      <c r="E396" s="8" t="s">
        <v>2520</v>
      </c>
      <c r="F396" s="8" t="s">
        <v>1035</v>
      </c>
      <c r="G396" s="6" t="s">
        <v>37</v>
      </c>
      <c r="H396" s="6" t="s">
        <v>38</v>
      </c>
      <c r="I396" s="8" t="s">
        <v>183</v>
      </c>
      <c r="J396" s="9">
        <v>1</v>
      </c>
      <c r="K396" s="9">
        <v>278</v>
      </c>
      <c r="L396" s="9">
        <v>2024</v>
      </c>
      <c r="M396" s="8" t="s">
        <v>2525</v>
      </c>
      <c r="N396" s="8" t="s">
        <v>41</v>
      </c>
      <c r="O396" s="8" t="s">
        <v>42</v>
      </c>
      <c r="P396" s="6" t="s">
        <v>77</v>
      </c>
      <c r="Q396" s="8" t="s">
        <v>89</v>
      </c>
      <c r="R396" s="10" t="s">
        <v>1136</v>
      </c>
      <c r="S396" s="11" t="s">
        <v>2526</v>
      </c>
      <c r="T396" s="6" t="s">
        <v>46</v>
      </c>
      <c r="U396" s="27" t="str">
        <f>HYPERLINK("https://media.infra-m.ru/2078/2078387/cover/2078387.jpg", "Обложка")</f>
        <v>Обложка</v>
      </c>
      <c r="V396" s="27" t="str">
        <f>HYPERLINK("https://znanium.com/catalog/product/2078387", "Ознакомиться")</f>
        <v>Ознакомиться</v>
      </c>
      <c r="W396" s="8"/>
      <c r="X396" s="6"/>
      <c r="Y396" s="6"/>
      <c r="Z396" s="6"/>
      <c r="AA396" s="6" t="s">
        <v>543</v>
      </c>
    </row>
    <row r="397" spans="1:27" s="4" customFormat="1" ht="42" customHeight="1">
      <c r="A397" s="5">
        <v>0</v>
      </c>
      <c r="B397" s="6" t="s">
        <v>2527</v>
      </c>
      <c r="C397" s="7">
        <v>1080</v>
      </c>
      <c r="D397" s="8" t="s">
        <v>2528</v>
      </c>
      <c r="E397" s="8" t="s">
        <v>2529</v>
      </c>
      <c r="F397" s="8" t="s">
        <v>1035</v>
      </c>
      <c r="G397" s="6" t="s">
        <v>53</v>
      </c>
      <c r="H397" s="6" t="s">
        <v>38</v>
      </c>
      <c r="I397" s="8" t="s">
        <v>54</v>
      </c>
      <c r="J397" s="9">
        <v>1</v>
      </c>
      <c r="K397" s="9">
        <v>234</v>
      </c>
      <c r="L397" s="9">
        <v>2024</v>
      </c>
      <c r="M397" s="8" t="s">
        <v>2530</v>
      </c>
      <c r="N397" s="8" t="s">
        <v>41</v>
      </c>
      <c r="O397" s="8" t="s">
        <v>42</v>
      </c>
      <c r="P397" s="6" t="s">
        <v>58</v>
      </c>
      <c r="Q397" s="8" t="s">
        <v>44</v>
      </c>
      <c r="R397" s="10" t="s">
        <v>68</v>
      </c>
      <c r="S397" s="11"/>
      <c r="T397" s="6"/>
      <c r="U397" s="27" t="str">
        <f>HYPERLINK("https://media.infra-m.ru/2119/2119112/cover/2119112.jpg", "Обложка")</f>
        <v>Обложка</v>
      </c>
      <c r="V397" s="27" t="str">
        <f>HYPERLINK("https://znanium.com/catalog/product/2119112", "Ознакомиться")</f>
        <v>Ознакомиться</v>
      </c>
      <c r="W397" s="8"/>
      <c r="X397" s="6"/>
      <c r="Y397" s="6"/>
      <c r="Z397" s="6"/>
      <c r="AA397" s="6" t="s">
        <v>109</v>
      </c>
    </row>
    <row r="398" spans="1:27" s="4" customFormat="1" ht="51.95" customHeight="1">
      <c r="A398" s="5">
        <v>0</v>
      </c>
      <c r="B398" s="6" t="s">
        <v>2531</v>
      </c>
      <c r="C398" s="13">
        <v>720</v>
      </c>
      <c r="D398" s="8" t="s">
        <v>2532</v>
      </c>
      <c r="E398" s="8" t="s">
        <v>2533</v>
      </c>
      <c r="F398" s="8" t="s">
        <v>2534</v>
      </c>
      <c r="G398" s="6" t="s">
        <v>37</v>
      </c>
      <c r="H398" s="6" t="s">
        <v>87</v>
      </c>
      <c r="I398" s="8" t="s">
        <v>75</v>
      </c>
      <c r="J398" s="9">
        <v>1</v>
      </c>
      <c r="K398" s="9">
        <v>189</v>
      </c>
      <c r="L398" s="9">
        <v>2022</v>
      </c>
      <c r="M398" s="8" t="s">
        <v>2535</v>
      </c>
      <c r="N398" s="8" t="s">
        <v>41</v>
      </c>
      <c r="O398" s="8" t="s">
        <v>42</v>
      </c>
      <c r="P398" s="6" t="s">
        <v>77</v>
      </c>
      <c r="Q398" s="8" t="s">
        <v>78</v>
      </c>
      <c r="R398" s="10" t="s">
        <v>474</v>
      </c>
      <c r="S398" s="11" t="s">
        <v>2536</v>
      </c>
      <c r="T398" s="6"/>
      <c r="U398" s="27" t="str">
        <f>HYPERLINK("https://media.infra-m.ru/1853/1853910/cover/1853910.jpg", "Обложка")</f>
        <v>Обложка</v>
      </c>
      <c r="V398" s="27" t="str">
        <f>HYPERLINK("https://znanium.com/catalog/product/1853910", "Ознакомиться")</f>
        <v>Ознакомиться</v>
      </c>
      <c r="W398" s="8" t="s">
        <v>2537</v>
      </c>
      <c r="X398" s="6"/>
      <c r="Y398" s="6"/>
      <c r="Z398" s="6" t="s">
        <v>2538</v>
      </c>
      <c r="AA398" s="6" t="s">
        <v>70</v>
      </c>
    </row>
    <row r="399" spans="1:27" s="4" customFormat="1" ht="51.95" customHeight="1">
      <c r="A399" s="5">
        <v>0</v>
      </c>
      <c r="B399" s="6" t="s">
        <v>2539</v>
      </c>
      <c r="C399" s="13">
        <v>890</v>
      </c>
      <c r="D399" s="8" t="s">
        <v>2540</v>
      </c>
      <c r="E399" s="8" t="s">
        <v>2541</v>
      </c>
      <c r="F399" s="8" t="s">
        <v>2534</v>
      </c>
      <c r="G399" s="6" t="s">
        <v>37</v>
      </c>
      <c r="H399" s="6" t="s">
        <v>38</v>
      </c>
      <c r="I399" s="8" t="s">
        <v>75</v>
      </c>
      <c r="J399" s="9">
        <v>1</v>
      </c>
      <c r="K399" s="9">
        <v>197</v>
      </c>
      <c r="L399" s="9">
        <v>2022</v>
      </c>
      <c r="M399" s="8" t="s">
        <v>2542</v>
      </c>
      <c r="N399" s="8" t="s">
        <v>41</v>
      </c>
      <c r="O399" s="8" t="s">
        <v>42</v>
      </c>
      <c r="P399" s="6" t="s">
        <v>77</v>
      </c>
      <c r="Q399" s="8" t="s">
        <v>78</v>
      </c>
      <c r="R399" s="10" t="s">
        <v>1136</v>
      </c>
      <c r="S399" s="11" t="s">
        <v>2543</v>
      </c>
      <c r="T399" s="6"/>
      <c r="U399" s="27" t="str">
        <f>HYPERLINK("https://media.infra-m.ru/1869/1869678/cover/1869678.jpg", "Обложка")</f>
        <v>Обложка</v>
      </c>
      <c r="V399" s="27" t="str">
        <f>HYPERLINK("https://znanium.com/catalog/product/1869678", "Ознакомиться")</f>
        <v>Ознакомиться</v>
      </c>
      <c r="W399" s="8" t="s">
        <v>2537</v>
      </c>
      <c r="X399" s="6"/>
      <c r="Y399" s="6"/>
      <c r="Z399" s="6"/>
      <c r="AA399" s="6" t="s">
        <v>317</v>
      </c>
    </row>
    <row r="400" spans="1:27" s="4" customFormat="1" ht="42" customHeight="1">
      <c r="A400" s="5">
        <v>0</v>
      </c>
      <c r="B400" s="6" t="s">
        <v>2544</v>
      </c>
      <c r="C400" s="13">
        <v>594.9</v>
      </c>
      <c r="D400" s="8" t="s">
        <v>2545</v>
      </c>
      <c r="E400" s="8" t="s">
        <v>2533</v>
      </c>
      <c r="F400" s="8" t="s">
        <v>2534</v>
      </c>
      <c r="G400" s="6" t="s">
        <v>53</v>
      </c>
      <c r="H400" s="6" t="s">
        <v>87</v>
      </c>
      <c r="I400" s="8"/>
      <c r="J400" s="9">
        <v>1</v>
      </c>
      <c r="K400" s="9">
        <v>188</v>
      </c>
      <c r="L400" s="9">
        <v>2019</v>
      </c>
      <c r="M400" s="8" t="s">
        <v>2546</v>
      </c>
      <c r="N400" s="8" t="s">
        <v>41</v>
      </c>
      <c r="O400" s="8" t="s">
        <v>42</v>
      </c>
      <c r="P400" s="6" t="s">
        <v>77</v>
      </c>
      <c r="Q400" s="8" t="s">
        <v>89</v>
      </c>
      <c r="R400" s="10" t="s">
        <v>1136</v>
      </c>
      <c r="S400" s="11"/>
      <c r="T400" s="6"/>
      <c r="U400" s="27" t="str">
        <f>HYPERLINK("https://media.infra-m.ru/1001/1001116/cover/1001116.jpg", "Обложка")</f>
        <v>Обложка</v>
      </c>
      <c r="V400" s="27" t="str">
        <f>HYPERLINK("https://znanium.com/catalog/product/1869678", "Ознакомиться")</f>
        <v>Ознакомиться</v>
      </c>
      <c r="W400" s="8" t="s">
        <v>2537</v>
      </c>
      <c r="X400" s="6"/>
      <c r="Y400" s="6"/>
      <c r="Z400" s="6"/>
      <c r="AA400" s="6" t="s">
        <v>556</v>
      </c>
    </row>
    <row r="401" spans="1:27" s="4" customFormat="1" ht="51.95" customHeight="1">
      <c r="A401" s="5">
        <v>0</v>
      </c>
      <c r="B401" s="6" t="s">
        <v>2547</v>
      </c>
      <c r="C401" s="7">
        <v>1140</v>
      </c>
      <c r="D401" s="8" t="s">
        <v>2548</v>
      </c>
      <c r="E401" s="8" t="s">
        <v>2549</v>
      </c>
      <c r="F401" s="8" t="s">
        <v>2550</v>
      </c>
      <c r="G401" s="6" t="s">
        <v>37</v>
      </c>
      <c r="H401" s="6" t="s">
        <v>38</v>
      </c>
      <c r="I401" s="8" t="s">
        <v>75</v>
      </c>
      <c r="J401" s="9">
        <v>1</v>
      </c>
      <c r="K401" s="9">
        <v>248</v>
      </c>
      <c r="L401" s="9">
        <v>2024</v>
      </c>
      <c r="M401" s="8" t="s">
        <v>2551</v>
      </c>
      <c r="N401" s="8" t="s">
        <v>41</v>
      </c>
      <c r="O401" s="8" t="s">
        <v>42</v>
      </c>
      <c r="P401" s="6" t="s">
        <v>185</v>
      </c>
      <c r="Q401" s="8" t="s">
        <v>78</v>
      </c>
      <c r="R401" s="10" t="s">
        <v>2552</v>
      </c>
      <c r="S401" s="11" t="s">
        <v>2553</v>
      </c>
      <c r="T401" s="6"/>
      <c r="U401" s="27" t="str">
        <f>HYPERLINK("https://media.infra-m.ru/2116/2116862/cover/2116862.jpg", "Обложка")</f>
        <v>Обложка</v>
      </c>
      <c r="V401" s="27" t="str">
        <f>HYPERLINK("https://znanium.com/catalog/product/2116862", "Ознакомиться")</f>
        <v>Ознакомиться</v>
      </c>
      <c r="W401" s="8" t="s">
        <v>467</v>
      </c>
      <c r="X401" s="6"/>
      <c r="Y401" s="6"/>
      <c r="Z401" s="6" t="s">
        <v>82</v>
      </c>
      <c r="AA401" s="6" t="s">
        <v>128</v>
      </c>
    </row>
    <row r="402" spans="1:27" s="4" customFormat="1" ht="51.95" customHeight="1">
      <c r="A402" s="5">
        <v>0</v>
      </c>
      <c r="B402" s="6" t="s">
        <v>2554</v>
      </c>
      <c r="C402" s="7">
        <v>1150</v>
      </c>
      <c r="D402" s="8" t="s">
        <v>2555</v>
      </c>
      <c r="E402" s="8" t="s">
        <v>2549</v>
      </c>
      <c r="F402" s="8" t="s">
        <v>2550</v>
      </c>
      <c r="G402" s="6" t="s">
        <v>37</v>
      </c>
      <c r="H402" s="6" t="s">
        <v>38</v>
      </c>
      <c r="I402" s="8" t="s">
        <v>183</v>
      </c>
      <c r="J402" s="9">
        <v>1</v>
      </c>
      <c r="K402" s="9">
        <v>248</v>
      </c>
      <c r="L402" s="9">
        <v>2024</v>
      </c>
      <c r="M402" s="8" t="s">
        <v>2556</v>
      </c>
      <c r="N402" s="8" t="s">
        <v>41</v>
      </c>
      <c r="O402" s="8" t="s">
        <v>42</v>
      </c>
      <c r="P402" s="6" t="s">
        <v>185</v>
      </c>
      <c r="Q402" s="8" t="s">
        <v>89</v>
      </c>
      <c r="R402" s="10" t="s">
        <v>2552</v>
      </c>
      <c r="S402" s="11" t="s">
        <v>2557</v>
      </c>
      <c r="T402" s="6"/>
      <c r="U402" s="27" t="str">
        <f>HYPERLINK("https://media.infra-m.ru/2059/2059571/cover/2059571.jpg", "Обложка")</f>
        <v>Обложка</v>
      </c>
      <c r="V402" s="27" t="str">
        <f>HYPERLINK("https://znanium.com/catalog/product/2059571", "Ознакомиться")</f>
        <v>Ознакомиться</v>
      </c>
      <c r="W402" s="8" t="s">
        <v>467</v>
      </c>
      <c r="X402" s="6"/>
      <c r="Y402" s="6"/>
      <c r="Z402" s="6"/>
      <c r="AA402" s="6" t="s">
        <v>136</v>
      </c>
    </row>
    <row r="403" spans="1:27" s="4" customFormat="1" ht="51.95" customHeight="1">
      <c r="A403" s="5">
        <v>0</v>
      </c>
      <c r="B403" s="6" t="s">
        <v>2558</v>
      </c>
      <c r="C403" s="13">
        <v>660</v>
      </c>
      <c r="D403" s="8" t="s">
        <v>2559</v>
      </c>
      <c r="E403" s="8" t="s">
        <v>2560</v>
      </c>
      <c r="F403" s="8" t="s">
        <v>2561</v>
      </c>
      <c r="G403" s="6" t="s">
        <v>37</v>
      </c>
      <c r="H403" s="6" t="s">
        <v>38</v>
      </c>
      <c r="I403" s="8" t="s">
        <v>75</v>
      </c>
      <c r="J403" s="9">
        <v>1</v>
      </c>
      <c r="K403" s="9">
        <v>158</v>
      </c>
      <c r="L403" s="9">
        <v>2022</v>
      </c>
      <c r="M403" s="8" t="s">
        <v>2562</v>
      </c>
      <c r="N403" s="8" t="s">
        <v>41</v>
      </c>
      <c r="O403" s="8" t="s">
        <v>42</v>
      </c>
      <c r="P403" s="6" t="s">
        <v>185</v>
      </c>
      <c r="Q403" s="8" t="s">
        <v>78</v>
      </c>
      <c r="R403" s="10" t="s">
        <v>276</v>
      </c>
      <c r="S403" s="11" t="s">
        <v>2563</v>
      </c>
      <c r="T403" s="6"/>
      <c r="U403" s="27" t="str">
        <f>HYPERLINK("https://media.infra-m.ru/1864/1864118/cover/1864118.jpg", "Обложка")</f>
        <v>Обложка</v>
      </c>
      <c r="V403" s="27" t="str">
        <f>HYPERLINK("https://znanium.com/catalog/product/1864118", "Ознакомиться")</f>
        <v>Ознакомиться</v>
      </c>
      <c r="W403" s="8" t="s">
        <v>467</v>
      </c>
      <c r="X403" s="6"/>
      <c r="Y403" s="6"/>
      <c r="Z403" s="6" t="s">
        <v>82</v>
      </c>
      <c r="AA403" s="6" t="s">
        <v>128</v>
      </c>
    </row>
    <row r="404" spans="1:27" s="4" customFormat="1" ht="51.95" customHeight="1">
      <c r="A404" s="5">
        <v>0</v>
      </c>
      <c r="B404" s="6" t="s">
        <v>2564</v>
      </c>
      <c r="C404" s="13">
        <v>754</v>
      </c>
      <c r="D404" s="8" t="s">
        <v>2565</v>
      </c>
      <c r="E404" s="8" t="s">
        <v>2560</v>
      </c>
      <c r="F404" s="8" t="s">
        <v>2561</v>
      </c>
      <c r="G404" s="6" t="s">
        <v>37</v>
      </c>
      <c r="H404" s="6" t="s">
        <v>38</v>
      </c>
      <c r="I404" s="8" t="s">
        <v>173</v>
      </c>
      <c r="J404" s="9">
        <v>1</v>
      </c>
      <c r="K404" s="9">
        <v>158</v>
      </c>
      <c r="L404" s="9">
        <v>2023</v>
      </c>
      <c r="M404" s="8" t="s">
        <v>2566</v>
      </c>
      <c r="N404" s="8" t="s">
        <v>41</v>
      </c>
      <c r="O404" s="8" t="s">
        <v>42</v>
      </c>
      <c r="P404" s="6" t="s">
        <v>185</v>
      </c>
      <c r="Q404" s="8" t="s">
        <v>89</v>
      </c>
      <c r="R404" s="10" t="s">
        <v>442</v>
      </c>
      <c r="S404" s="11" t="s">
        <v>2567</v>
      </c>
      <c r="T404" s="6"/>
      <c r="U404" s="27" t="str">
        <f>HYPERLINK("https://media.infra-m.ru/2058/2058761/cover/2058761.jpg", "Обложка")</f>
        <v>Обложка</v>
      </c>
      <c r="V404" s="27" t="str">
        <f>HYPERLINK("https://znanium.com/catalog/product/2116855", "Ознакомиться")</f>
        <v>Ознакомиться</v>
      </c>
      <c r="W404" s="8" t="s">
        <v>467</v>
      </c>
      <c r="X404" s="6"/>
      <c r="Y404" s="6"/>
      <c r="Z404" s="6"/>
      <c r="AA404" s="6" t="s">
        <v>136</v>
      </c>
    </row>
    <row r="405" spans="1:27" s="4" customFormat="1" ht="44.1" customHeight="1">
      <c r="A405" s="5">
        <v>0</v>
      </c>
      <c r="B405" s="6" t="s">
        <v>2568</v>
      </c>
      <c r="C405" s="13">
        <v>790</v>
      </c>
      <c r="D405" s="8" t="s">
        <v>2569</v>
      </c>
      <c r="E405" s="8" t="s">
        <v>2570</v>
      </c>
      <c r="F405" s="8" t="s">
        <v>2571</v>
      </c>
      <c r="G405" s="6" t="s">
        <v>53</v>
      </c>
      <c r="H405" s="6" t="s">
        <v>38</v>
      </c>
      <c r="I405" s="8" t="s">
        <v>54</v>
      </c>
      <c r="J405" s="9">
        <v>1</v>
      </c>
      <c r="K405" s="9">
        <v>172</v>
      </c>
      <c r="L405" s="9">
        <v>2023</v>
      </c>
      <c r="M405" s="8" t="s">
        <v>2572</v>
      </c>
      <c r="N405" s="8" t="s">
        <v>41</v>
      </c>
      <c r="O405" s="8" t="s">
        <v>42</v>
      </c>
      <c r="P405" s="6" t="s">
        <v>58</v>
      </c>
      <c r="Q405" s="8" t="s">
        <v>44</v>
      </c>
      <c r="R405" s="10" t="s">
        <v>2573</v>
      </c>
      <c r="S405" s="11"/>
      <c r="T405" s="6"/>
      <c r="U405" s="27" t="str">
        <f>HYPERLINK("https://media.infra-m.ru/1900/1900628/cover/1900628.jpg", "Обложка")</f>
        <v>Обложка</v>
      </c>
      <c r="V405" s="27" t="str">
        <f>HYPERLINK("https://znanium.com/catalog/product/1900628", "Ознакомиться")</f>
        <v>Ознакомиться</v>
      </c>
      <c r="W405" s="8" t="s">
        <v>47</v>
      </c>
      <c r="X405" s="6" t="s">
        <v>2457</v>
      </c>
      <c r="Y405" s="6"/>
      <c r="Z405" s="6"/>
      <c r="AA405" s="6" t="s">
        <v>61</v>
      </c>
    </row>
    <row r="406" spans="1:27" s="4" customFormat="1" ht="44.1" customHeight="1">
      <c r="A406" s="5">
        <v>0</v>
      </c>
      <c r="B406" s="6" t="s">
        <v>2574</v>
      </c>
      <c r="C406" s="13">
        <v>810</v>
      </c>
      <c r="D406" s="8" t="s">
        <v>2575</v>
      </c>
      <c r="E406" s="8" t="s">
        <v>2576</v>
      </c>
      <c r="F406" s="8" t="s">
        <v>2577</v>
      </c>
      <c r="G406" s="6" t="s">
        <v>53</v>
      </c>
      <c r="H406" s="6" t="s">
        <v>38</v>
      </c>
      <c r="I406" s="8" t="s">
        <v>54</v>
      </c>
      <c r="J406" s="9">
        <v>1</v>
      </c>
      <c r="K406" s="9">
        <v>181</v>
      </c>
      <c r="L406" s="9">
        <v>2023</v>
      </c>
      <c r="M406" s="8" t="s">
        <v>2578</v>
      </c>
      <c r="N406" s="8" t="s">
        <v>56</v>
      </c>
      <c r="O406" s="8" t="s">
        <v>57</v>
      </c>
      <c r="P406" s="6" t="s">
        <v>58</v>
      </c>
      <c r="Q406" s="8" t="s">
        <v>44</v>
      </c>
      <c r="R406" s="10" t="s">
        <v>2579</v>
      </c>
      <c r="S406" s="11"/>
      <c r="T406" s="6"/>
      <c r="U406" s="27" t="str">
        <f>HYPERLINK("https://media.infra-m.ru/1893/1893847/cover/1893847.jpg", "Обложка")</f>
        <v>Обложка</v>
      </c>
      <c r="V406" s="27" t="str">
        <f>HYPERLINK("https://znanium.com/catalog/product/1893847", "Ознакомиться")</f>
        <v>Ознакомиться</v>
      </c>
      <c r="W406" s="8" t="s">
        <v>483</v>
      </c>
      <c r="X406" s="6"/>
      <c r="Y406" s="6"/>
      <c r="Z406" s="6"/>
      <c r="AA406" s="6" t="s">
        <v>70</v>
      </c>
    </row>
    <row r="407" spans="1:27" s="4" customFormat="1" ht="42" customHeight="1">
      <c r="A407" s="5">
        <v>0</v>
      </c>
      <c r="B407" s="6" t="s">
        <v>2580</v>
      </c>
      <c r="C407" s="13">
        <v>884</v>
      </c>
      <c r="D407" s="8" t="s">
        <v>2581</v>
      </c>
      <c r="E407" s="8" t="s">
        <v>2582</v>
      </c>
      <c r="F407" s="8" t="s">
        <v>2583</v>
      </c>
      <c r="G407" s="6" t="s">
        <v>165</v>
      </c>
      <c r="H407" s="6" t="s">
        <v>38</v>
      </c>
      <c r="I407" s="8" t="s">
        <v>54</v>
      </c>
      <c r="J407" s="9">
        <v>1</v>
      </c>
      <c r="K407" s="9">
        <v>190</v>
      </c>
      <c r="L407" s="9">
        <v>2023</v>
      </c>
      <c r="M407" s="8" t="s">
        <v>2584</v>
      </c>
      <c r="N407" s="8" t="s">
        <v>41</v>
      </c>
      <c r="O407" s="8" t="s">
        <v>42</v>
      </c>
      <c r="P407" s="6" t="s">
        <v>58</v>
      </c>
      <c r="Q407" s="8" t="s">
        <v>44</v>
      </c>
      <c r="R407" s="10" t="s">
        <v>2585</v>
      </c>
      <c r="S407" s="11"/>
      <c r="T407" s="6"/>
      <c r="U407" s="27" t="str">
        <f>HYPERLINK("https://media.infra-m.ru/1995/1995389/cover/1995389.jpg", "Обложка")</f>
        <v>Обложка</v>
      </c>
      <c r="V407" s="27" t="str">
        <f>HYPERLINK("https://znanium.com/catalog/product/1831185", "Ознакомиться")</f>
        <v>Ознакомиться</v>
      </c>
      <c r="W407" s="8" t="s">
        <v>228</v>
      </c>
      <c r="X407" s="6"/>
      <c r="Y407" s="6"/>
      <c r="Z407" s="6"/>
      <c r="AA407" s="6" t="s">
        <v>83</v>
      </c>
    </row>
    <row r="408" spans="1:27" s="4" customFormat="1" ht="42" customHeight="1">
      <c r="A408" s="5">
        <v>0</v>
      </c>
      <c r="B408" s="6" t="s">
        <v>2586</v>
      </c>
      <c r="C408" s="13">
        <v>974.9</v>
      </c>
      <c r="D408" s="8" t="s">
        <v>2587</v>
      </c>
      <c r="E408" s="8" t="s">
        <v>2588</v>
      </c>
      <c r="F408" s="8" t="s">
        <v>2589</v>
      </c>
      <c r="G408" s="6" t="s">
        <v>165</v>
      </c>
      <c r="H408" s="6" t="s">
        <v>38</v>
      </c>
      <c r="I408" s="8" t="s">
        <v>54</v>
      </c>
      <c r="J408" s="9">
        <v>1</v>
      </c>
      <c r="K408" s="9">
        <v>279</v>
      </c>
      <c r="L408" s="9">
        <v>2020</v>
      </c>
      <c r="M408" s="8" t="s">
        <v>2590</v>
      </c>
      <c r="N408" s="8" t="s">
        <v>41</v>
      </c>
      <c r="O408" s="8" t="s">
        <v>42</v>
      </c>
      <c r="P408" s="6" t="s">
        <v>58</v>
      </c>
      <c r="Q408" s="8" t="s">
        <v>44</v>
      </c>
      <c r="R408" s="10" t="s">
        <v>1090</v>
      </c>
      <c r="S408" s="11"/>
      <c r="T408" s="6"/>
      <c r="U408" s="27" t="str">
        <f>HYPERLINK("https://media.infra-m.ru/1047/1047137/cover/1047137.jpg", "Обложка")</f>
        <v>Обложка</v>
      </c>
      <c r="V408" s="27" t="str">
        <f>HYPERLINK("https://znanium.com/catalog/product/975793", "Ознакомиться")</f>
        <v>Ознакомиться</v>
      </c>
      <c r="W408" s="8" t="s">
        <v>917</v>
      </c>
      <c r="X408" s="6"/>
      <c r="Y408" s="6"/>
      <c r="Z408" s="6"/>
      <c r="AA408" s="6" t="s">
        <v>48</v>
      </c>
    </row>
    <row r="409" spans="1:27" s="4" customFormat="1" ht="42" customHeight="1">
      <c r="A409" s="5">
        <v>0</v>
      </c>
      <c r="B409" s="6" t="s">
        <v>2591</v>
      </c>
      <c r="C409" s="13">
        <v>864</v>
      </c>
      <c r="D409" s="8" t="s">
        <v>2592</v>
      </c>
      <c r="E409" s="8" t="s">
        <v>2593</v>
      </c>
      <c r="F409" s="8" t="s">
        <v>2594</v>
      </c>
      <c r="G409" s="6" t="s">
        <v>53</v>
      </c>
      <c r="H409" s="6" t="s">
        <v>38</v>
      </c>
      <c r="I409" s="8" t="s">
        <v>54</v>
      </c>
      <c r="J409" s="9">
        <v>1</v>
      </c>
      <c r="K409" s="9">
        <v>188</v>
      </c>
      <c r="L409" s="9">
        <v>2023</v>
      </c>
      <c r="M409" s="8" t="s">
        <v>2595</v>
      </c>
      <c r="N409" s="8" t="s">
        <v>41</v>
      </c>
      <c r="O409" s="8" t="s">
        <v>42</v>
      </c>
      <c r="P409" s="6" t="s">
        <v>58</v>
      </c>
      <c r="Q409" s="8" t="s">
        <v>44</v>
      </c>
      <c r="R409" s="10" t="s">
        <v>2596</v>
      </c>
      <c r="S409" s="11"/>
      <c r="T409" s="6"/>
      <c r="U409" s="27" t="str">
        <f>HYPERLINK("https://media.infra-m.ru/2080/2080775/cover/2080775.jpg", "Обложка")</f>
        <v>Обложка</v>
      </c>
      <c r="V409" s="27" t="str">
        <f>HYPERLINK("https://znanium.com/catalog/product/1853812", "Ознакомиться")</f>
        <v>Ознакомиться</v>
      </c>
      <c r="W409" s="8" t="s">
        <v>2597</v>
      </c>
      <c r="X409" s="6"/>
      <c r="Y409" s="6"/>
      <c r="Z409" s="6"/>
      <c r="AA409" s="6" t="s">
        <v>622</v>
      </c>
    </row>
    <row r="410" spans="1:27" s="4" customFormat="1" ht="51.95" customHeight="1">
      <c r="A410" s="5">
        <v>0</v>
      </c>
      <c r="B410" s="6" t="s">
        <v>2598</v>
      </c>
      <c r="C410" s="13">
        <v>890</v>
      </c>
      <c r="D410" s="8" t="s">
        <v>2599</v>
      </c>
      <c r="E410" s="8" t="s">
        <v>2600</v>
      </c>
      <c r="F410" s="8" t="s">
        <v>2601</v>
      </c>
      <c r="G410" s="6" t="s">
        <v>37</v>
      </c>
      <c r="H410" s="6" t="s">
        <v>38</v>
      </c>
      <c r="I410" s="8" t="s">
        <v>75</v>
      </c>
      <c r="J410" s="9">
        <v>1</v>
      </c>
      <c r="K410" s="9">
        <v>192</v>
      </c>
      <c r="L410" s="9">
        <v>2024</v>
      </c>
      <c r="M410" s="8" t="s">
        <v>2602</v>
      </c>
      <c r="N410" s="8" t="s">
        <v>41</v>
      </c>
      <c r="O410" s="8" t="s">
        <v>42</v>
      </c>
      <c r="P410" s="6" t="s">
        <v>185</v>
      </c>
      <c r="Q410" s="8" t="s">
        <v>78</v>
      </c>
      <c r="R410" s="10" t="s">
        <v>2603</v>
      </c>
      <c r="S410" s="11" t="s">
        <v>2604</v>
      </c>
      <c r="T410" s="6"/>
      <c r="U410" s="27" t="str">
        <f>HYPERLINK("https://media.infra-m.ru/2072/2072488/cover/2072488.jpg", "Обложка")</f>
        <v>Обложка</v>
      </c>
      <c r="V410" s="27" t="str">
        <f>HYPERLINK("https://znanium.com/catalog/product/2072488", "Ознакомиться")</f>
        <v>Ознакомиться</v>
      </c>
      <c r="W410" s="8" t="s">
        <v>444</v>
      </c>
      <c r="X410" s="6"/>
      <c r="Y410" s="6"/>
      <c r="Z410" s="6" t="s">
        <v>579</v>
      </c>
      <c r="AA410" s="6" t="s">
        <v>136</v>
      </c>
    </row>
    <row r="411" spans="1:27" s="4" customFormat="1" ht="51.95" customHeight="1">
      <c r="A411" s="5">
        <v>0</v>
      </c>
      <c r="B411" s="6" t="s">
        <v>2605</v>
      </c>
      <c r="C411" s="13">
        <v>940</v>
      </c>
      <c r="D411" s="8" t="s">
        <v>2606</v>
      </c>
      <c r="E411" s="8" t="s">
        <v>2607</v>
      </c>
      <c r="F411" s="8" t="s">
        <v>2601</v>
      </c>
      <c r="G411" s="6" t="s">
        <v>53</v>
      </c>
      <c r="H411" s="6" t="s">
        <v>87</v>
      </c>
      <c r="I411" s="8" t="s">
        <v>183</v>
      </c>
      <c r="J411" s="9">
        <v>1</v>
      </c>
      <c r="K411" s="9">
        <v>192</v>
      </c>
      <c r="L411" s="9">
        <v>2023</v>
      </c>
      <c r="M411" s="8" t="s">
        <v>2608</v>
      </c>
      <c r="N411" s="8" t="s">
        <v>41</v>
      </c>
      <c r="O411" s="8" t="s">
        <v>42</v>
      </c>
      <c r="P411" s="6" t="s">
        <v>185</v>
      </c>
      <c r="Q411" s="8" t="s">
        <v>316</v>
      </c>
      <c r="R411" s="10" t="s">
        <v>2609</v>
      </c>
      <c r="S411" s="11" t="s">
        <v>2610</v>
      </c>
      <c r="T411" s="6"/>
      <c r="U411" s="27" t="str">
        <f>HYPERLINK("https://media.infra-m.ru/2055/2055787/cover/2055787.jpg", "Обложка")</f>
        <v>Обложка</v>
      </c>
      <c r="V411" s="27" t="str">
        <f>HYPERLINK("https://znanium.com/catalog/product/2055787", "Ознакомиться")</f>
        <v>Ознакомиться</v>
      </c>
      <c r="W411" s="8" t="s">
        <v>444</v>
      </c>
      <c r="X411" s="6"/>
      <c r="Y411" s="6"/>
      <c r="Z411" s="6"/>
      <c r="AA411" s="6" t="s">
        <v>208</v>
      </c>
    </row>
    <row r="412" spans="1:27" s="4" customFormat="1" ht="51.95" customHeight="1">
      <c r="A412" s="5">
        <v>0</v>
      </c>
      <c r="B412" s="6" t="s">
        <v>2611</v>
      </c>
      <c r="C412" s="13">
        <v>600</v>
      </c>
      <c r="D412" s="8" t="s">
        <v>2612</v>
      </c>
      <c r="E412" s="8" t="s">
        <v>2613</v>
      </c>
      <c r="F412" s="8" t="s">
        <v>2614</v>
      </c>
      <c r="G412" s="6" t="s">
        <v>53</v>
      </c>
      <c r="H412" s="6" t="s">
        <v>87</v>
      </c>
      <c r="I412" s="8" t="s">
        <v>54</v>
      </c>
      <c r="J412" s="9">
        <v>1</v>
      </c>
      <c r="K412" s="9">
        <v>112</v>
      </c>
      <c r="L412" s="9">
        <v>2024</v>
      </c>
      <c r="M412" s="8" t="s">
        <v>2615</v>
      </c>
      <c r="N412" s="8" t="s">
        <v>56</v>
      </c>
      <c r="O412" s="8" t="s">
        <v>57</v>
      </c>
      <c r="P412" s="6" t="s">
        <v>58</v>
      </c>
      <c r="Q412" s="8" t="s">
        <v>44</v>
      </c>
      <c r="R412" s="10" t="s">
        <v>671</v>
      </c>
      <c r="S412" s="11"/>
      <c r="T412" s="6"/>
      <c r="U412" s="27" t="str">
        <f>HYPERLINK("https://media.infra-m.ru/2079/2079245/cover/2079245.jpg", "Обложка")</f>
        <v>Обложка</v>
      </c>
      <c r="V412" s="27" t="str">
        <f>HYPERLINK("https://znanium.com/catalog/product/2079245", "Ознакомиться")</f>
        <v>Ознакомиться</v>
      </c>
      <c r="W412" s="8" t="s">
        <v>503</v>
      </c>
      <c r="X412" s="6"/>
      <c r="Y412" s="6"/>
      <c r="Z412" s="6"/>
      <c r="AA412" s="6" t="s">
        <v>117</v>
      </c>
    </row>
    <row r="413" spans="1:27" s="4" customFormat="1" ht="44.1" customHeight="1">
      <c r="A413" s="5">
        <v>0</v>
      </c>
      <c r="B413" s="6" t="s">
        <v>2616</v>
      </c>
      <c r="C413" s="13">
        <v>950</v>
      </c>
      <c r="D413" s="8" t="s">
        <v>2617</v>
      </c>
      <c r="E413" s="8" t="s">
        <v>2618</v>
      </c>
      <c r="F413" s="8" t="s">
        <v>2619</v>
      </c>
      <c r="G413" s="6" t="s">
        <v>53</v>
      </c>
      <c r="H413" s="6" t="s">
        <v>38</v>
      </c>
      <c r="I413" s="8" t="s">
        <v>54</v>
      </c>
      <c r="J413" s="9">
        <v>1</v>
      </c>
      <c r="K413" s="9">
        <v>210</v>
      </c>
      <c r="L413" s="9">
        <v>2023</v>
      </c>
      <c r="M413" s="8" t="s">
        <v>2620</v>
      </c>
      <c r="N413" s="8" t="s">
        <v>56</v>
      </c>
      <c r="O413" s="8" t="s">
        <v>57</v>
      </c>
      <c r="P413" s="6" t="s">
        <v>58</v>
      </c>
      <c r="Q413" s="8" t="s">
        <v>44</v>
      </c>
      <c r="R413" s="10" t="s">
        <v>2621</v>
      </c>
      <c r="S413" s="11"/>
      <c r="T413" s="6"/>
      <c r="U413" s="27" t="str">
        <f>HYPERLINK("https://media.infra-m.ru/1912/1912413/cover/1912413.jpg", "Обложка")</f>
        <v>Обложка</v>
      </c>
      <c r="V413" s="27" t="str">
        <f>HYPERLINK("https://znanium.com/catalog/product/1912413", "Ознакомиться")</f>
        <v>Ознакомиться</v>
      </c>
      <c r="W413" s="8" t="s">
        <v>562</v>
      </c>
      <c r="X413" s="6"/>
      <c r="Y413" s="6"/>
      <c r="Z413" s="6"/>
      <c r="AA413" s="6" t="s">
        <v>128</v>
      </c>
    </row>
    <row r="414" spans="1:27" s="4" customFormat="1" ht="51.95" customHeight="1">
      <c r="A414" s="5">
        <v>0</v>
      </c>
      <c r="B414" s="6" t="s">
        <v>2622</v>
      </c>
      <c r="C414" s="13">
        <v>890</v>
      </c>
      <c r="D414" s="8" t="s">
        <v>2623</v>
      </c>
      <c r="E414" s="8" t="s">
        <v>2624</v>
      </c>
      <c r="F414" s="8" t="s">
        <v>2625</v>
      </c>
      <c r="G414" s="6" t="s">
        <v>37</v>
      </c>
      <c r="H414" s="6" t="s">
        <v>38</v>
      </c>
      <c r="I414" s="8" t="s">
        <v>75</v>
      </c>
      <c r="J414" s="9">
        <v>1</v>
      </c>
      <c r="K414" s="9">
        <v>197</v>
      </c>
      <c r="L414" s="9">
        <v>2023</v>
      </c>
      <c r="M414" s="8" t="s">
        <v>2626</v>
      </c>
      <c r="N414" s="8" t="s">
        <v>41</v>
      </c>
      <c r="O414" s="8" t="s">
        <v>42</v>
      </c>
      <c r="P414" s="6" t="s">
        <v>150</v>
      </c>
      <c r="Q414" s="8" t="s">
        <v>78</v>
      </c>
      <c r="R414" s="10" t="s">
        <v>1568</v>
      </c>
      <c r="S414" s="11" t="s">
        <v>2627</v>
      </c>
      <c r="T414" s="6"/>
      <c r="U414" s="27" t="str">
        <f>HYPERLINK("https://media.infra-m.ru/1970/1970295/cover/1970295.jpg", "Обложка")</f>
        <v>Обложка</v>
      </c>
      <c r="V414" s="27" t="str">
        <f>HYPERLINK("https://znanium.com/catalog/product/1970295", "Ознакомиться")</f>
        <v>Ознакомиться</v>
      </c>
      <c r="W414" s="8" t="s">
        <v>116</v>
      </c>
      <c r="X414" s="6"/>
      <c r="Y414" s="6"/>
      <c r="Z414" s="6"/>
      <c r="AA414" s="6" t="s">
        <v>128</v>
      </c>
    </row>
    <row r="415" spans="1:27" s="4" customFormat="1" ht="51.95" customHeight="1">
      <c r="A415" s="5">
        <v>0</v>
      </c>
      <c r="B415" s="6" t="s">
        <v>2628</v>
      </c>
      <c r="C415" s="7">
        <v>1394</v>
      </c>
      <c r="D415" s="8" t="s">
        <v>2629</v>
      </c>
      <c r="E415" s="8" t="s">
        <v>2630</v>
      </c>
      <c r="F415" s="8" t="s">
        <v>2631</v>
      </c>
      <c r="G415" s="6" t="s">
        <v>53</v>
      </c>
      <c r="H415" s="6" t="s">
        <v>87</v>
      </c>
      <c r="I415" s="8"/>
      <c r="J415" s="9">
        <v>1</v>
      </c>
      <c r="K415" s="9">
        <v>304</v>
      </c>
      <c r="L415" s="9">
        <v>2024</v>
      </c>
      <c r="M415" s="8" t="s">
        <v>2632</v>
      </c>
      <c r="N415" s="8" t="s">
        <v>41</v>
      </c>
      <c r="O415" s="8" t="s">
        <v>42</v>
      </c>
      <c r="P415" s="6" t="s">
        <v>77</v>
      </c>
      <c r="Q415" s="8" t="s">
        <v>89</v>
      </c>
      <c r="R415" s="10" t="s">
        <v>2633</v>
      </c>
      <c r="S415" s="11" t="s">
        <v>2634</v>
      </c>
      <c r="T415" s="6"/>
      <c r="U415" s="27" t="str">
        <f>HYPERLINK("https://media.infra-m.ru/2101/2101613/cover/2101613.jpg", "Обложка")</f>
        <v>Обложка</v>
      </c>
      <c r="V415" s="12"/>
      <c r="W415" s="8" t="s">
        <v>2635</v>
      </c>
      <c r="X415" s="6"/>
      <c r="Y415" s="6"/>
      <c r="Z415" s="6"/>
      <c r="AA415" s="6" t="s">
        <v>101</v>
      </c>
    </row>
    <row r="416" spans="1:27" s="4" customFormat="1" ht="44.1" customHeight="1">
      <c r="A416" s="5">
        <v>0</v>
      </c>
      <c r="B416" s="6" t="s">
        <v>2636</v>
      </c>
      <c r="C416" s="7">
        <v>1070</v>
      </c>
      <c r="D416" s="8" t="s">
        <v>2637</v>
      </c>
      <c r="E416" s="8" t="s">
        <v>2638</v>
      </c>
      <c r="F416" s="8" t="s">
        <v>2639</v>
      </c>
      <c r="G416" s="6" t="s">
        <v>53</v>
      </c>
      <c r="H416" s="6" t="s">
        <v>38</v>
      </c>
      <c r="I416" s="8" t="s">
        <v>54</v>
      </c>
      <c r="J416" s="9">
        <v>1</v>
      </c>
      <c r="K416" s="9">
        <v>231</v>
      </c>
      <c r="L416" s="9">
        <v>2024</v>
      </c>
      <c r="M416" s="8" t="s">
        <v>2640</v>
      </c>
      <c r="N416" s="8" t="s">
        <v>41</v>
      </c>
      <c r="O416" s="8" t="s">
        <v>42</v>
      </c>
      <c r="P416" s="6" t="s">
        <v>58</v>
      </c>
      <c r="Q416" s="8" t="s">
        <v>44</v>
      </c>
      <c r="R416" s="10" t="s">
        <v>2641</v>
      </c>
      <c r="S416" s="11"/>
      <c r="T416" s="6"/>
      <c r="U416" s="27" t="str">
        <f>HYPERLINK("https://media.infra-m.ru/2074/2074383/cover/2074383.jpg", "Обложка")</f>
        <v>Обложка</v>
      </c>
      <c r="V416" s="27" t="str">
        <f>HYPERLINK("https://znanium.com/catalog/product/2074383", "Ознакомиться")</f>
        <v>Ознакомиться</v>
      </c>
      <c r="W416" s="8" t="s">
        <v>2642</v>
      </c>
      <c r="X416" s="6"/>
      <c r="Y416" s="6"/>
      <c r="Z416" s="6"/>
      <c r="AA416" s="6" t="s">
        <v>178</v>
      </c>
    </row>
    <row r="417" spans="1:27" s="4" customFormat="1" ht="42" customHeight="1">
      <c r="A417" s="5">
        <v>0</v>
      </c>
      <c r="B417" s="6" t="s">
        <v>2643</v>
      </c>
      <c r="C417" s="7">
        <v>1084.9000000000001</v>
      </c>
      <c r="D417" s="8" t="s">
        <v>2644</v>
      </c>
      <c r="E417" s="8" t="s">
        <v>2645</v>
      </c>
      <c r="F417" s="8" t="s">
        <v>2646</v>
      </c>
      <c r="G417" s="6" t="s">
        <v>53</v>
      </c>
      <c r="H417" s="6" t="s">
        <v>1414</v>
      </c>
      <c r="I417" s="8" t="s">
        <v>2647</v>
      </c>
      <c r="J417" s="9">
        <v>1</v>
      </c>
      <c r="K417" s="9">
        <v>240</v>
      </c>
      <c r="L417" s="9">
        <v>2023</v>
      </c>
      <c r="M417" s="8" t="s">
        <v>2648</v>
      </c>
      <c r="N417" s="8" t="s">
        <v>41</v>
      </c>
      <c r="O417" s="8" t="s">
        <v>42</v>
      </c>
      <c r="P417" s="6" t="s">
        <v>77</v>
      </c>
      <c r="Q417" s="8" t="s">
        <v>44</v>
      </c>
      <c r="R417" s="10" t="s">
        <v>378</v>
      </c>
      <c r="S417" s="11"/>
      <c r="T417" s="6"/>
      <c r="U417" s="27" t="str">
        <f>HYPERLINK("https://media.infra-m.ru/1854/1854962/cover/1854962.jpg", "Обложка")</f>
        <v>Обложка</v>
      </c>
      <c r="V417" s="27" t="str">
        <f>HYPERLINK("https://znanium.com/catalog/product/1009066", "Ознакомиться")</f>
        <v>Ознакомиться</v>
      </c>
      <c r="W417" s="8" t="s">
        <v>2649</v>
      </c>
      <c r="X417" s="6"/>
      <c r="Y417" s="6"/>
      <c r="Z417" s="6"/>
      <c r="AA417" s="6" t="s">
        <v>622</v>
      </c>
    </row>
    <row r="418" spans="1:27" s="4" customFormat="1" ht="42" customHeight="1">
      <c r="A418" s="5">
        <v>0</v>
      </c>
      <c r="B418" s="6" t="s">
        <v>2650</v>
      </c>
      <c r="C418" s="7">
        <v>1294</v>
      </c>
      <c r="D418" s="8" t="s">
        <v>2651</v>
      </c>
      <c r="E418" s="8" t="s">
        <v>2652</v>
      </c>
      <c r="F418" s="8" t="s">
        <v>2653</v>
      </c>
      <c r="G418" s="6" t="s">
        <v>165</v>
      </c>
      <c r="H418" s="6" t="s">
        <v>38</v>
      </c>
      <c r="I418" s="8" t="s">
        <v>54</v>
      </c>
      <c r="J418" s="9">
        <v>1</v>
      </c>
      <c r="K418" s="9">
        <v>280</v>
      </c>
      <c r="L418" s="9">
        <v>2024</v>
      </c>
      <c r="M418" s="8" t="s">
        <v>2654</v>
      </c>
      <c r="N418" s="8" t="s">
        <v>41</v>
      </c>
      <c r="O418" s="8" t="s">
        <v>42</v>
      </c>
      <c r="P418" s="6" t="s">
        <v>58</v>
      </c>
      <c r="Q418" s="8" t="s">
        <v>44</v>
      </c>
      <c r="R418" s="10" t="s">
        <v>2655</v>
      </c>
      <c r="S418" s="11"/>
      <c r="T418" s="6"/>
      <c r="U418" s="27" t="str">
        <f>HYPERLINK("https://media.infra-m.ru/2094/2094495/cover/2094495.jpg", "Обложка")</f>
        <v>Обложка</v>
      </c>
      <c r="V418" s="27" t="str">
        <f>HYPERLINK("https://znanium.com/catalog/product/925857", "Ознакомиться")</f>
        <v>Ознакомиться</v>
      </c>
      <c r="W418" s="8"/>
      <c r="X418" s="6"/>
      <c r="Y418" s="6"/>
      <c r="Z418" s="6"/>
      <c r="AA418" s="6" t="s">
        <v>101</v>
      </c>
    </row>
    <row r="419" spans="1:27" s="4" customFormat="1" ht="51.95" customHeight="1">
      <c r="A419" s="5">
        <v>0</v>
      </c>
      <c r="B419" s="6" t="s">
        <v>2656</v>
      </c>
      <c r="C419" s="13">
        <v>780</v>
      </c>
      <c r="D419" s="8" t="s">
        <v>2657</v>
      </c>
      <c r="E419" s="8" t="s">
        <v>2658</v>
      </c>
      <c r="F419" s="8" t="s">
        <v>2659</v>
      </c>
      <c r="G419" s="6" t="s">
        <v>37</v>
      </c>
      <c r="H419" s="6" t="s">
        <v>38</v>
      </c>
      <c r="I419" s="8" t="s">
        <v>173</v>
      </c>
      <c r="J419" s="9">
        <v>1</v>
      </c>
      <c r="K419" s="9">
        <v>174</v>
      </c>
      <c r="L419" s="9">
        <v>2023</v>
      </c>
      <c r="M419" s="8" t="s">
        <v>2660</v>
      </c>
      <c r="N419" s="8" t="s">
        <v>41</v>
      </c>
      <c r="O419" s="8" t="s">
        <v>42</v>
      </c>
      <c r="P419" s="6" t="s">
        <v>77</v>
      </c>
      <c r="Q419" s="8" t="s">
        <v>89</v>
      </c>
      <c r="R419" s="10" t="s">
        <v>671</v>
      </c>
      <c r="S419" s="11" t="s">
        <v>2661</v>
      </c>
      <c r="T419" s="6"/>
      <c r="U419" s="27" t="str">
        <f>HYPERLINK("https://media.infra-m.ru/1981/1981601/cover/1981601.jpg", "Обложка")</f>
        <v>Обложка</v>
      </c>
      <c r="V419" s="27" t="str">
        <f>HYPERLINK("https://znanium.com/catalog/product/1981601", "Ознакомиться")</f>
        <v>Ознакомиться</v>
      </c>
      <c r="W419" s="8" t="s">
        <v>638</v>
      </c>
      <c r="X419" s="6"/>
      <c r="Y419" s="6"/>
      <c r="Z419" s="6"/>
      <c r="AA419" s="6" t="s">
        <v>585</v>
      </c>
    </row>
    <row r="420" spans="1:27" s="4" customFormat="1" ht="51.95" customHeight="1">
      <c r="A420" s="5">
        <v>0</v>
      </c>
      <c r="B420" s="6" t="s">
        <v>2662</v>
      </c>
      <c r="C420" s="13">
        <v>790</v>
      </c>
      <c r="D420" s="8" t="s">
        <v>2663</v>
      </c>
      <c r="E420" s="8" t="s">
        <v>2658</v>
      </c>
      <c r="F420" s="8" t="s">
        <v>2659</v>
      </c>
      <c r="G420" s="6" t="s">
        <v>37</v>
      </c>
      <c r="H420" s="6" t="s">
        <v>38</v>
      </c>
      <c r="I420" s="8" t="s">
        <v>75</v>
      </c>
      <c r="J420" s="9">
        <v>1</v>
      </c>
      <c r="K420" s="9">
        <v>174</v>
      </c>
      <c r="L420" s="9">
        <v>2023</v>
      </c>
      <c r="M420" s="8" t="s">
        <v>2664</v>
      </c>
      <c r="N420" s="8" t="s">
        <v>41</v>
      </c>
      <c r="O420" s="8" t="s">
        <v>42</v>
      </c>
      <c r="P420" s="6" t="s">
        <v>77</v>
      </c>
      <c r="Q420" s="8" t="s">
        <v>78</v>
      </c>
      <c r="R420" s="10" t="s">
        <v>2665</v>
      </c>
      <c r="S420" s="11" t="s">
        <v>2666</v>
      </c>
      <c r="T420" s="6"/>
      <c r="U420" s="27" t="str">
        <f>HYPERLINK("https://media.infra-m.ru/1991/1991866/cover/1991866.jpg", "Обложка")</f>
        <v>Обложка</v>
      </c>
      <c r="V420" s="27" t="str">
        <f>HYPERLINK("https://znanium.com/catalog/product/1991866", "Ознакомиться")</f>
        <v>Ознакомиться</v>
      </c>
      <c r="W420" s="8" t="s">
        <v>638</v>
      </c>
      <c r="X420" s="6"/>
      <c r="Y420" s="6"/>
      <c r="Z420" s="6" t="s">
        <v>82</v>
      </c>
      <c r="AA420" s="6" t="s">
        <v>2667</v>
      </c>
    </row>
    <row r="421" spans="1:27" s="4" customFormat="1" ht="51.95" customHeight="1">
      <c r="A421" s="5">
        <v>0</v>
      </c>
      <c r="B421" s="6" t="s">
        <v>2668</v>
      </c>
      <c r="C421" s="7">
        <v>1174</v>
      </c>
      <c r="D421" s="8" t="s">
        <v>2669</v>
      </c>
      <c r="E421" s="8" t="s">
        <v>2670</v>
      </c>
      <c r="F421" s="8" t="s">
        <v>1397</v>
      </c>
      <c r="G421" s="6" t="s">
        <v>37</v>
      </c>
      <c r="H421" s="6" t="s">
        <v>38</v>
      </c>
      <c r="I421" s="8" t="s">
        <v>173</v>
      </c>
      <c r="J421" s="9">
        <v>1</v>
      </c>
      <c r="K421" s="9">
        <v>255</v>
      </c>
      <c r="L421" s="9">
        <v>2022</v>
      </c>
      <c r="M421" s="8" t="s">
        <v>2671</v>
      </c>
      <c r="N421" s="8" t="s">
        <v>41</v>
      </c>
      <c r="O421" s="8" t="s">
        <v>42</v>
      </c>
      <c r="P421" s="6" t="s">
        <v>77</v>
      </c>
      <c r="Q421" s="8" t="s">
        <v>89</v>
      </c>
      <c r="R421" s="10" t="s">
        <v>1136</v>
      </c>
      <c r="S421" s="11" t="s">
        <v>2672</v>
      </c>
      <c r="T421" s="6"/>
      <c r="U421" s="27" t="str">
        <f>HYPERLINK("https://media.infra-m.ru/1852/1852409/cover/1852409.jpg", "Обложка")</f>
        <v>Обложка</v>
      </c>
      <c r="V421" s="27" t="str">
        <f>HYPERLINK("https://znanium.com/catalog/product/1860514", "Ознакомиться")</f>
        <v>Ознакомиться</v>
      </c>
      <c r="W421" s="8" t="s">
        <v>970</v>
      </c>
      <c r="X421" s="6"/>
      <c r="Y421" s="6"/>
      <c r="Z421" s="6"/>
      <c r="AA421" s="6" t="s">
        <v>302</v>
      </c>
    </row>
    <row r="422" spans="1:27" s="4" customFormat="1" ht="42" customHeight="1">
      <c r="A422" s="5">
        <v>0</v>
      </c>
      <c r="B422" s="6" t="s">
        <v>2673</v>
      </c>
      <c r="C422" s="7">
        <v>1140</v>
      </c>
      <c r="D422" s="8" t="s">
        <v>2674</v>
      </c>
      <c r="E422" s="8" t="s">
        <v>2675</v>
      </c>
      <c r="F422" s="8" t="s">
        <v>1397</v>
      </c>
      <c r="G422" s="6" t="s">
        <v>165</v>
      </c>
      <c r="H422" s="6" t="s">
        <v>38</v>
      </c>
      <c r="I422" s="8" t="s">
        <v>122</v>
      </c>
      <c r="J422" s="9">
        <v>1</v>
      </c>
      <c r="K422" s="9">
        <v>247</v>
      </c>
      <c r="L422" s="9">
        <v>2024</v>
      </c>
      <c r="M422" s="8" t="s">
        <v>2676</v>
      </c>
      <c r="N422" s="8" t="s">
        <v>41</v>
      </c>
      <c r="O422" s="8" t="s">
        <v>42</v>
      </c>
      <c r="P422" s="6" t="s">
        <v>77</v>
      </c>
      <c r="Q422" s="8" t="s">
        <v>124</v>
      </c>
      <c r="R422" s="10" t="s">
        <v>1136</v>
      </c>
      <c r="S422" s="11"/>
      <c r="T422" s="6"/>
      <c r="U422" s="27" t="str">
        <f>HYPERLINK("https://media.infra-m.ru/1860/1860514/cover/1860514.jpg", "Обложка")</f>
        <v>Обложка</v>
      </c>
      <c r="V422" s="27" t="str">
        <f>HYPERLINK("https://znanium.com/catalog/product/1860514", "Ознакомиться")</f>
        <v>Ознакомиться</v>
      </c>
      <c r="W422" s="8" t="s">
        <v>970</v>
      </c>
      <c r="X422" s="6" t="s">
        <v>334</v>
      </c>
      <c r="Y422" s="6"/>
      <c r="Z422" s="6"/>
      <c r="AA422" s="6" t="s">
        <v>2677</v>
      </c>
    </row>
    <row r="423" spans="1:27" s="4" customFormat="1" ht="42" customHeight="1">
      <c r="A423" s="5">
        <v>0</v>
      </c>
      <c r="B423" s="6" t="s">
        <v>2678</v>
      </c>
      <c r="C423" s="13">
        <v>620</v>
      </c>
      <c r="D423" s="8" t="s">
        <v>2679</v>
      </c>
      <c r="E423" s="8" t="s">
        <v>2680</v>
      </c>
      <c r="F423" s="8" t="s">
        <v>2681</v>
      </c>
      <c r="G423" s="6" t="s">
        <v>53</v>
      </c>
      <c r="H423" s="6" t="s">
        <v>38</v>
      </c>
      <c r="I423" s="8" t="s">
        <v>54</v>
      </c>
      <c r="J423" s="9">
        <v>1</v>
      </c>
      <c r="K423" s="9">
        <v>138</v>
      </c>
      <c r="L423" s="9">
        <v>2023</v>
      </c>
      <c r="M423" s="8" t="s">
        <v>2682</v>
      </c>
      <c r="N423" s="8" t="s">
        <v>41</v>
      </c>
      <c r="O423" s="8" t="s">
        <v>42</v>
      </c>
      <c r="P423" s="6" t="s">
        <v>58</v>
      </c>
      <c r="Q423" s="8" t="s">
        <v>44</v>
      </c>
      <c r="R423" s="10" t="s">
        <v>824</v>
      </c>
      <c r="S423" s="11"/>
      <c r="T423" s="6"/>
      <c r="U423" s="27" t="str">
        <f>HYPERLINK("https://media.infra-m.ru/1937/1937184/cover/1937184.jpg", "Обложка")</f>
        <v>Обложка</v>
      </c>
      <c r="V423" s="27" t="str">
        <f>HYPERLINK("https://znanium.com/catalog/product/1937184", "Ознакомиться")</f>
        <v>Ознакомиться</v>
      </c>
      <c r="W423" s="8" t="s">
        <v>2683</v>
      </c>
      <c r="X423" s="6"/>
      <c r="Y423" s="6"/>
      <c r="Z423" s="6"/>
      <c r="AA423" s="6" t="s">
        <v>70</v>
      </c>
    </row>
    <row r="424" spans="1:27" s="4" customFormat="1" ht="51.95" customHeight="1">
      <c r="A424" s="5">
        <v>0</v>
      </c>
      <c r="B424" s="6" t="s">
        <v>2684</v>
      </c>
      <c r="C424" s="13">
        <v>870</v>
      </c>
      <c r="D424" s="8" t="s">
        <v>2685</v>
      </c>
      <c r="E424" s="8" t="s">
        <v>2686</v>
      </c>
      <c r="F424" s="8" t="s">
        <v>2687</v>
      </c>
      <c r="G424" s="6" t="s">
        <v>53</v>
      </c>
      <c r="H424" s="6" t="s">
        <v>38</v>
      </c>
      <c r="I424" s="8" t="s">
        <v>54</v>
      </c>
      <c r="J424" s="9">
        <v>1</v>
      </c>
      <c r="K424" s="9">
        <v>194</v>
      </c>
      <c r="L424" s="9">
        <v>2023</v>
      </c>
      <c r="M424" s="8" t="s">
        <v>2688</v>
      </c>
      <c r="N424" s="8" t="s">
        <v>41</v>
      </c>
      <c r="O424" s="8" t="s">
        <v>42</v>
      </c>
      <c r="P424" s="6" t="s">
        <v>58</v>
      </c>
      <c r="Q424" s="8" t="s">
        <v>44</v>
      </c>
      <c r="R424" s="10" t="s">
        <v>2689</v>
      </c>
      <c r="S424" s="11"/>
      <c r="T424" s="6" t="s">
        <v>46</v>
      </c>
      <c r="U424" s="27" t="str">
        <f>HYPERLINK("https://media.infra-m.ru/1937/1937185/cover/1937185.jpg", "Обложка")</f>
        <v>Обложка</v>
      </c>
      <c r="V424" s="27" t="str">
        <f>HYPERLINK("https://znanium.com/catalog/product/1937185", "Ознакомиться")</f>
        <v>Ознакомиться</v>
      </c>
      <c r="W424" s="8" t="s">
        <v>215</v>
      </c>
      <c r="X424" s="6"/>
      <c r="Y424" s="6"/>
      <c r="Z424" s="6"/>
      <c r="AA424" s="6" t="s">
        <v>128</v>
      </c>
    </row>
    <row r="425" spans="1:27" s="4" customFormat="1" ht="42" customHeight="1">
      <c r="A425" s="5">
        <v>0</v>
      </c>
      <c r="B425" s="6" t="s">
        <v>2690</v>
      </c>
      <c r="C425" s="13">
        <v>924</v>
      </c>
      <c r="D425" s="8" t="s">
        <v>2691</v>
      </c>
      <c r="E425" s="8" t="s">
        <v>2692</v>
      </c>
      <c r="F425" s="8" t="s">
        <v>2693</v>
      </c>
      <c r="G425" s="6" t="s">
        <v>37</v>
      </c>
      <c r="H425" s="6" t="s">
        <v>38</v>
      </c>
      <c r="I425" s="8" t="s">
        <v>54</v>
      </c>
      <c r="J425" s="9">
        <v>1</v>
      </c>
      <c r="K425" s="9">
        <v>203</v>
      </c>
      <c r="L425" s="9">
        <v>2023</v>
      </c>
      <c r="M425" s="8" t="s">
        <v>2694</v>
      </c>
      <c r="N425" s="8" t="s">
        <v>41</v>
      </c>
      <c r="O425" s="8" t="s">
        <v>42</v>
      </c>
      <c r="P425" s="6" t="s">
        <v>58</v>
      </c>
      <c r="Q425" s="8" t="s">
        <v>44</v>
      </c>
      <c r="R425" s="10" t="s">
        <v>2695</v>
      </c>
      <c r="S425" s="11"/>
      <c r="T425" s="6"/>
      <c r="U425" s="27" t="str">
        <f>HYPERLINK("https://media.infra-m.ru/2006/2006876/cover/2006876.jpg", "Обложка")</f>
        <v>Обложка</v>
      </c>
      <c r="V425" s="27" t="str">
        <f>HYPERLINK("https://znanium.com/catalog/product/1240756", "Ознакомиться")</f>
        <v>Ознакомиться</v>
      </c>
      <c r="W425" s="8" t="s">
        <v>2506</v>
      </c>
      <c r="X425" s="6"/>
      <c r="Y425" s="6"/>
      <c r="Z425" s="6"/>
      <c r="AA425" s="6" t="s">
        <v>83</v>
      </c>
    </row>
    <row r="426" spans="1:27" s="4" customFormat="1" ht="42" customHeight="1">
      <c r="A426" s="5">
        <v>0</v>
      </c>
      <c r="B426" s="6" t="s">
        <v>2696</v>
      </c>
      <c r="C426" s="7">
        <v>1559.9</v>
      </c>
      <c r="D426" s="8" t="s">
        <v>2697</v>
      </c>
      <c r="E426" s="8" t="s">
        <v>2698</v>
      </c>
      <c r="F426" s="8" t="s">
        <v>2699</v>
      </c>
      <c r="G426" s="6" t="s">
        <v>165</v>
      </c>
      <c r="H426" s="6" t="s">
        <v>1325</v>
      </c>
      <c r="I426" s="8"/>
      <c r="J426" s="9">
        <v>1</v>
      </c>
      <c r="K426" s="9">
        <v>400</v>
      </c>
      <c r="L426" s="9">
        <v>2022</v>
      </c>
      <c r="M426" s="8" t="s">
        <v>2700</v>
      </c>
      <c r="N426" s="8" t="s">
        <v>41</v>
      </c>
      <c r="O426" s="8" t="s">
        <v>42</v>
      </c>
      <c r="P426" s="6" t="s">
        <v>58</v>
      </c>
      <c r="Q426" s="8" t="s">
        <v>44</v>
      </c>
      <c r="R426" s="10" t="s">
        <v>2701</v>
      </c>
      <c r="S426" s="11"/>
      <c r="T426" s="6"/>
      <c r="U426" s="27" t="str">
        <f>HYPERLINK("https://media.infra-m.ru/1836/1836963/cover/1836963.jpg", "Обложка")</f>
        <v>Обложка</v>
      </c>
      <c r="V426" s="27" t="str">
        <f>HYPERLINK("https://znanium.com/catalog/product/1836963", "Ознакомиться")</f>
        <v>Ознакомиться</v>
      </c>
      <c r="W426" s="8" t="s">
        <v>1329</v>
      </c>
      <c r="X426" s="6"/>
      <c r="Y426" s="6"/>
      <c r="Z426" s="6"/>
      <c r="AA426" s="6" t="s">
        <v>178</v>
      </c>
    </row>
    <row r="427" spans="1:27" s="4" customFormat="1" ht="51.95" customHeight="1">
      <c r="A427" s="5">
        <v>0</v>
      </c>
      <c r="B427" s="6" t="s">
        <v>2702</v>
      </c>
      <c r="C427" s="7">
        <v>1340</v>
      </c>
      <c r="D427" s="8" t="s">
        <v>2703</v>
      </c>
      <c r="E427" s="8" t="s">
        <v>2704</v>
      </c>
      <c r="F427" s="8" t="s">
        <v>2705</v>
      </c>
      <c r="G427" s="6" t="s">
        <v>165</v>
      </c>
      <c r="H427" s="6" t="s">
        <v>608</v>
      </c>
      <c r="I427" s="8"/>
      <c r="J427" s="9">
        <v>1</v>
      </c>
      <c r="K427" s="9">
        <v>350</v>
      </c>
      <c r="L427" s="9">
        <v>2022</v>
      </c>
      <c r="M427" s="8" t="s">
        <v>2706</v>
      </c>
      <c r="N427" s="8" t="s">
        <v>41</v>
      </c>
      <c r="O427" s="8" t="s">
        <v>42</v>
      </c>
      <c r="P427" s="6" t="s">
        <v>541</v>
      </c>
      <c r="Q427" s="8"/>
      <c r="R427" s="10" t="s">
        <v>2707</v>
      </c>
      <c r="S427" s="11"/>
      <c r="T427" s="6"/>
      <c r="U427" s="27" t="str">
        <f>HYPERLINK("https://media.infra-m.ru/1857/1857281/cover/1857281.jpg", "Обложка")</f>
        <v>Обложка</v>
      </c>
      <c r="V427" s="12"/>
      <c r="W427" s="8" t="s">
        <v>503</v>
      </c>
      <c r="X427" s="6"/>
      <c r="Y427" s="6"/>
      <c r="Z427" s="6"/>
      <c r="AA427" s="6" t="s">
        <v>178</v>
      </c>
    </row>
    <row r="428" spans="1:27" s="4" customFormat="1" ht="42" customHeight="1">
      <c r="A428" s="5">
        <v>0</v>
      </c>
      <c r="B428" s="6" t="s">
        <v>2708</v>
      </c>
      <c r="C428" s="13">
        <v>914</v>
      </c>
      <c r="D428" s="8" t="s">
        <v>2709</v>
      </c>
      <c r="E428" s="8" t="s">
        <v>2710</v>
      </c>
      <c r="F428" s="8" t="s">
        <v>2711</v>
      </c>
      <c r="G428" s="6" t="s">
        <v>165</v>
      </c>
      <c r="H428" s="6" t="s">
        <v>38</v>
      </c>
      <c r="I428" s="8" t="s">
        <v>54</v>
      </c>
      <c r="J428" s="9">
        <v>1</v>
      </c>
      <c r="K428" s="9">
        <v>200</v>
      </c>
      <c r="L428" s="9">
        <v>2023</v>
      </c>
      <c r="M428" s="8" t="s">
        <v>2712</v>
      </c>
      <c r="N428" s="8" t="s">
        <v>41</v>
      </c>
      <c r="O428" s="8" t="s">
        <v>42</v>
      </c>
      <c r="P428" s="6" t="s">
        <v>58</v>
      </c>
      <c r="Q428" s="8" t="s">
        <v>44</v>
      </c>
      <c r="R428" s="10" t="s">
        <v>1136</v>
      </c>
      <c r="S428" s="11"/>
      <c r="T428" s="6"/>
      <c r="U428" s="27" t="str">
        <f>HYPERLINK("https://media.infra-m.ru/2006/2006847/cover/2006847.jpg", "Обложка")</f>
        <v>Обложка</v>
      </c>
      <c r="V428" s="27" t="str">
        <f>HYPERLINK("https://znanium.com/catalog/product/924027", "Ознакомиться")</f>
        <v>Ознакомиться</v>
      </c>
      <c r="W428" s="8" t="s">
        <v>483</v>
      </c>
      <c r="X428" s="6"/>
      <c r="Y428" s="6"/>
      <c r="Z428" s="6"/>
      <c r="AA428" s="6" t="s">
        <v>83</v>
      </c>
    </row>
    <row r="429" spans="1:27" s="4" customFormat="1" ht="51.95" customHeight="1">
      <c r="A429" s="5">
        <v>0</v>
      </c>
      <c r="B429" s="6" t="s">
        <v>2713</v>
      </c>
      <c r="C429" s="7">
        <v>1860</v>
      </c>
      <c r="D429" s="8" t="s">
        <v>2714</v>
      </c>
      <c r="E429" s="8" t="s">
        <v>2715</v>
      </c>
      <c r="F429" s="8" t="s">
        <v>212</v>
      </c>
      <c r="G429" s="6" t="s">
        <v>37</v>
      </c>
      <c r="H429" s="6" t="s">
        <v>38</v>
      </c>
      <c r="I429" s="8" t="s">
        <v>839</v>
      </c>
      <c r="J429" s="9">
        <v>1</v>
      </c>
      <c r="K429" s="9">
        <v>320</v>
      </c>
      <c r="L429" s="9">
        <v>2023</v>
      </c>
      <c r="M429" s="8" t="s">
        <v>2716</v>
      </c>
      <c r="N429" s="8" t="s">
        <v>41</v>
      </c>
      <c r="O429" s="8" t="s">
        <v>42</v>
      </c>
      <c r="P429" s="6" t="s">
        <v>58</v>
      </c>
      <c r="Q429" s="8" t="s">
        <v>44</v>
      </c>
      <c r="R429" s="10" t="s">
        <v>2717</v>
      </c>
      <c r="S429" s="11"/>
      <c r="T429" s="6"/>
      <c r="U429" s="27" t="str">
        <f>HYPERLINK("https://media.infra-m.ru/1976/1976167/cover/1976167.jpg", "Обложка")</f>
        <v>Обложка</v>
      </c>
      <c r="V429" s="27" t="str">
        <f>HYPERLINK("https://znanium.com/catalog/product/1976167", "Ознакомиться")</f>
        <v>Ознакомиться</v>
      </c>
      <c r="W429" s="8" t="s">
        <v>215</v>
      </c>
      <c r="X429" s="6"/>
      <c r="Y429" s="6"/>
      <c r="Z429" s="6"/>
      <c r="AA429" s="6" t="s">
        <v>136</v>
      </c>
    </row>
    <row r="430" spans="1:27" s="4" customFormat="1" ht="44.1" customHeight="1">
      <c r="A430" s="5">
        <v>0</v>
      </c>
      <c r="B430" s="6" t="s">
        <v>2718</v>
      </c>
      <c r="C430" s="7">
        <v>1160</v>
      </c>
      <c r="D430" s="8" t="s">
        <v>2719</v>
      </c>
      <c r="E430" s="8" t="s">
        <v>2720</v>
      </c>
      <c r="F430" s="8" t="s">
        <v>1035</v>
      </c>
      <c r="G430" s="6" t="s">
        <v>53</v>
      </c>
      <c r="H430" s="6" t="s">
        <v>38</v>
      </c>
      <c r="I430" s="8" t="s">
        <v>39</v>
      </c>
      <c r="J430" s="9">
        <v>1</v>
      </c>
      <c r="K430" s="9">
        <v>252</v>
      </c>
      <c r="L430" s="9">
        <v>2024</v>
      </c>
      <c r="M430" s="8" t="s">
        <v>2721</v>
      </c>
      <c r="N430" s="8" t="s">
        <v>41</v>
      </c>
      <c r="O430" s="8" t="s">
        <v>42</v>
      </c>
      <c r="P430" s="6" t="s">
        <v>58</v>
      </c>
      <c r="Q430" s="8" t="s">
        <v>908</v>
      </c>
      <c r="R430" s="10" t="s">
        <v>2722</v>
      </c>
      <c r="S430" s="11"/>
      <c r="T430" s="6"/>
      <c r="U430" s="27" t="str">
        <f>HYPERLINK("https://media.infra-m.ru/2099/2099004/cover/2099004.jpg", "Обложка")</f>
        <v>Обложка</v>
      </c>
      <c r="V430" s="27" t="str">
        <f>HYPERLINK("https://znanium.com/catalog/product/2099004", "Ознакомиться")</f>
        <v>Ознакомиться</v>
      </c>
      <c r="W430" s="8"/>
      <c r="X430" s="6"/>
      <c r="Y430" s="6"/>
      <c r="Z430" s="6"/>
      <c r="AA430" s="6" t="s">
        <v>302</v>
      </c>
    </row>
    <row r="431" spans="1:27" s="4" customFormat="1" ht="51.95" customHeight="1">
      <c r="A431" s="5">
        <v>0</v>
      </c>
      <c r="B431" s="6" t="s">
        <v>2723</v>
      </c>
      <c r="C431" s="7">
        <v>1160</v>
      </c>
      <c r="D431" s="8" t="s">
        <v>2724</v>
      </c>
      <c r="E431" s="8" t="s">
        <v>2725</v>
      </c>
      <c r="F431" s="8" t="s">
        <v>2726</v>
      </c>
      <c r="G431" s="6" t="s">
        <v>37</v>
      </c>
      <c r="H431" s="6" t="s">
        <v>38</v>
      </c>
      <c r="I431" s="8" t="s">
        <v>183</v>
      </c>
      <c r="J431" s="9">
        <v>1</v>
      </c>
      <c r="K431" s="9">
        <v>251</v>
      </c>
      <c r="L431" s="9">
        <v>2024</v>
      </c>
      <c r="M431" s="8" t="s">
        <v>2727</v>
      </c>
      <c r="N431" s="8" t="s">
        <v>41</v>
      </c>
      <c r="O431" s="8" t="s">
        <v>42</v>
      </c>
      <c r="P431" s="6" t="s">
        <v>77</v>
      </c>
      <c r="Q431" s="8" t="s">
        <v>89</v>
      </c>
      <c r="R431" s="10" t="s">
        <v>1253</v>
      </c>
      <c r="S431" s="11" t="s">
        <v>2728</v>
      </c>
      <c r="T431" s="6"/>
      <c r="U431" s="27" t="str">
        <f>HYPERLINK("https://media.infra-m.ru/2119/2119107/cover/2119107.jpg", "Обложка")</f>
        <v>Обложка</v>
      </c>
      <c r="V431" s="27" t="str">
        <f>HYPERLINK("https://znanium.com/catalog/product/2119107", "Ознакомиться")</f>
        <v>Ознакомиться</v>
      </c>
      <c r="W431" s="8" t="s">
        <v>2506</v>
      </c>
      <c r="X431" s="6"/>
      <c r="Y431" s="6"/>
      <c r="Z431" s="6"/>
      <c r="AA431" s="6" t="s">
        <v>136</v>
      </c>
    </row>
    <row r="432" spans="1:27" s="4" customFormat="1" ht="51.95" customHeight="1">
      <c r="A432" s="5">
        <v>0</v>
      </c>
      <c r="B432" s="6" t="s">
        <v>2729</v>
      </c>
      <c r="C432" s="7">
        <v>1160</v>
      </c>
      <c r="D432" s="8" t="s">
        <v>2730</v>
      </c>
      <c r="E432" s="8" t="s">
        <v>2725</v>
      </c>
      <c r="F432" s="8" t="s">
        <v>2726</v>
      </c>
      <c r="G432" s="6" t="s">
        <v>37</v>
      </c>
      <c r="H432" s="6" t="s">
        <v>38</v>
      </c>
      <c r="I432" s="8" t="s">
        <v>75</v>
      </c>
      <c r="J432" s="9">
        <v>1</v>
      </c>
      <c r="K432" s="9">
        <v>251</v>
      </c>
      <c r="L432" s="9">
        <v>2024</v>
      </c>
      <c r="M432" s="8" t="s">
        <v>2731</v>
      </c>
      <c r="N432" s="8" t="s">
        <v>41</v>
      </c>
      <c r="O432" s="8" t="s">
        <v>42</v>
      </c>
      <c r="P432" s="6" t="s">
        <v>77</v>
      </c>
      <c r="Q432" s="8" t="s">
        <v>78</v>
      </c>
      <c r="R432" s="10" t="s">
        <v>474</v>
      </c>
      <c r="S432" s="11" t="s">
        <v>2732</v>
      </c>
      <c r="T432" s="6"/>
      <c r="U432" s="27" t="str">
        <f>HYPERLINK("https://media.infra-m.ru/2100/2100010/cover/2100010.jpg", "Обложка")</f>
        <v>Обложка</v>
      </c>
      <c r="V432" s="27" t="str">
        <f>HYPERLINK("https://znanium.com/catalog/product/2100010", "Ознакомиться")</f>
        <v>Ознакомиться</v>
      </c>
      <c r="W432" s="8" t="s">
        <v>2506</v>
      </c>
      <c r="X432" s="6"/>
      <c r="Y432" s="6"/>
      <c r="Z432" s="6" t="s">
        <v>82</v>
      </c>
      <c r="AA432" s="6" t="s">
        <v>128</v>
      </c>
    </row>
    <row r="433" spans="1:27" s="4" customFormat="1" ht="51.95" customHeight="1">
      <c r="A433" s="5">
        <v>0</v>
      </c>
      <c r="B433" s="6" t="s">
        <v>2733</v>
      </c>
      <c r="C433" s="13">
        <v>750</v>
      </c>
      <c r="D433" s="8" t="s">
        <v>2734</v>
      </c>
      <c r="E433" s="8" t="s">
        <v>2735</v>
      </c>
      <c r="F433" s="8" t="s">
        <v>2736</v>
      </c>
      <c r="G433" s="6" t="s">
        <v>53</v>
      </c>
      <c r="H433" s="6" t="s">
        <v>608</v>
      </c>
      <c r="I433" s="8" t="s">
        <v>54</v>
      </c>
      <c r="J433" s="9">
        <v>1</v>
      </c>
      <c r="K433" s="9">
        <v>166</v>
      </c>
      <c r="L433" s="9">
        <v>2019</v>
      </c>
      <c r="M433" s="8" t="s">
        <v>2737</v>
      </c>
      <c r="N433" s="8" t="s">
        <v>41</v>
      </c>
      <c r="O433" s="8" t="s">
        <v>42</v>
      </c>
      <c r="P433" s="6" t="s">
        <v>58</v>
      </c>
      <c r="Q433" s="8" t="s">
        <v>44</v>
      </c>
      <c r="R433" s="10" t="s">
        <v>671</v>
      </c>
      <c r="S433" s="11"/>
      <c r="T433" s="6"/>
      <c r="U433" s="27" t="str">
        <f>HYPERLINK("https://media.infra-m.ru/0987/0987379/cover/987379.jpg", "Обложка")</f>
        <v>Обложка</v>
      </c>
      <c r="V433" s="27" t="str">
        <f>HYPERLINK("https://znanium.com/catalog/product/987379", "Ознакомиться")</f>
        <v>Ознакомиться</v>
      </c>
      <c r="W433" s="8" t="s">
        <v>1595</v>
      </c>
      <c r="X433" s="6"/>
      <c r="Y433" s="6"/>
      <c r="Z433" s="6"/>
      <c r="AA433" s="6" t="s">
        <v>101</v>
      </c>
    </row>
    <row r="434" spans="1:27" s="4" customFormat="1" ht="51.95" customHeight="1">
      <c r="A434" s="5">
        <v>0</v>
      </c>
      <c r="B434" s="6" t="s">
        <v>2738</v>
      </c>
      <c r="C434" s="7">
        <v>1440</v>
      </c>
      <c r="D434" s="8" t="s">
        <v>2739</v>
      </c>
      <c r="E434" s="8" t="s">
        <v>2740</v>
      </c>
      <c r="F434" s="8" t="s">
        <v>2741</v>
      </c>
      <c r="G434" s="6" t="s">
        <v>37</v>
      </c>
      <c r="H434" s="6" t="s">
        <v>38</v>
      </c>
      <c r="I434" s="8" t="s">
        <v>173</v>
      </c>
      <c r="J434" s="9">
        <v>1</v>
      </c>
      <c r="K434" s="9">
        <v>319</v>
      </c>
      <c r="L434" s="9">
        <v>2023</v>
      </c>
      <c r="M434" s="8" t="s">
        <v>2742</v>
      </c>
      <c r="N434" s="8" t="s">
        <v>41</v>
      </c>
      <c r="O434" s="8" t="s">
        <v>42</v>
      </c>
      <c r="P434" s="6" t="s">
        <v>150</v>
      </c>
      <c r="Q434" s="8" t="s">
        <v>89</v>
      </c>
      <c r="R434" s="10" t="s">
        <v>2178</v>
      </c>
      <c r="S434" s="11" t="s">
        <v>2743</v>
      </c>
      <c r="T434" s="6"/>
      <c r="U434" s="27" t="str">
        <f>HYPERLINK("https://media.infra-m.ru/1914/1914101/cover/1914101.jpg", "Обложка")</f>
        <v>Обложка</v>
      </c>
      <c r="V434" s="27" t="str">
        <f>HYPERLINK("https://znanium.com/catalog/product/1914101", "Ознакомиться")</f>
        <v>Ознакомиться</v>
      </c>
      <c r="W434" s="8" t="s">
        <v>483</v>
      </c>
      <c r="X434" s="6"/>
      <c r="Y434" s="6"/>
      <c r="Z434" s="6"/>
      <c r="AA434" s="6" t="s">
        <v>109</v>
      </c>
    </row>
    <row r="435" spans="1:27" s="4" customFormat="1" ht="51.95" customHeight="1">
      <c r="A435" s="5">
        <v>0</v>
      </c>
      <c r="B435" s="6" t="s">
        <v>2744</v>
      </c>
      <c r="C435" s="7">
        <v>1410</v>
      </c>
      <c r="D435" s="8" t="s">
        <v>2745</v>
      </c>
      <c r="E435" s="8" t="s">
        <v>2740</v>
      </c>
      <c r="F435" s="8" t="s">
        <v>2746</v>
      </c>
      <c r="G435" s="6" t="s">
        <v>37</v>
      </c>
      <c r="H435" s="6" t="s">
        <v>38</v>
      </c>
      <c r="I435" s="8" t="s">
        <v>2747</v>
      </c>
      <c r="J435" s="9">
        <v>1</v>
      </c>
      <c r="K435" s="9">
        <v>306</v>
      </c>
      <c r="L435" s="9">
        <v>2024</v>
      </c>
      <c r="M435" s="8" t="s">
        <v>2748</v>
      </c>
      <c r="N435" s="8" t="s">
        <v>41</v>
      </c>
      <c r="O435" s="8" t="s">
        <v>42</v>
      </c>
      <c r="P435" s="6" t="s">
        <v>77</v>
      </c>
      <c r="Q435" s="8" t="s">
        <v>89</v>
      </c>
      <c r="R435" s="10" t="s">
        <v>2749</v>
      </c>
      <c r="S435" s="11" t="s">
        <v>2750</v>
      </c>
      <c r="T435" s="6"/>
      <c r="U435" s="27" t="str">
        <f>HYPERLINK("https://media.infra-m.ru/2119/2119945/cover/2119945.jpg", "Обложка")</f>
        <v>Обложка</v>
      </c>
      <c r="V435" s="12"/>
      <c r="W435" s="8" t="s">
        <v>849</v>
      </c>
      <c r="X435" s="6"/>
      <c r="Y435" s="6"/>
      <c r="Z435" s="6"/>
      <c r="AA435" s="6" t="s">
        <v>48</v>
      </c>
    </row>
    <row r="436" spans="1:27" s="4" customFormat="1" ht="51.95" customHeight="1">
      <c r="A436" s="5">
        <v>0</v>
      </c>
      <c r="B436" s="6" t="s">
        <v>2751</v>
      </c>
      <c r="C436" s="13">
        <v>860</v>
      </c>
      <c r="D436" s="8" t="s">
        <v>2752</v>
      </c>
      <c r="E436" s="8" t="s">
        <v>2753</v>
      </c>
      <c r="F436" s="8" t="s">
        <v>1339</v>
      </c>
      <c r="G436" s="6" t="s">
        <v>37</v>
      </c>
      <c r="H436" s="6" t="s">
        <v>248</v>
      </c>
      <c r="I436" s="8" t="s">
        <v>183</v>
      </c>
      <c r="J436" s="9">
        <v>1</v>
      </c>
      <c r="K436" s="9">
        <v>227</v>
      </c>
      <c r="L436" s="9">
        <v>2022</v>
      </c>
      <c r="M436" s="8" t="s">
        <v>2754</v>
      </c>
      <c r="N436" s="8" t="s">
        <v>56</v>
      </c>
      <c r="O436" s="8" t="s">
        <v>57</v>
      </c>
      <c r="P436" s="6" t="s">
        <v>77</v>
      </c>
      <c r="Q436" s="8" t="s">
        <v>89</v>
      </c>
      <c r="R436" s="10" t="s">
        <v>2755</v>
      </c>
      <c r="S436" s="11" t="s">
        <v>2756</v>
      </c>
      <c r="T436" s="6"/>
      <c r="U436" s="27" t="str">
        <f>HYPERLINK("https://media.infra-m.ru/1862/1862601/cover/1862601.jpg", "Обложка")</f>
        <v>Обложка</v>
      </c>
      <c r="V436" s="27" t="str">
        <f>HYPERLINK("https://znanium.com/catalog/product/1862601", "Ознакомиться")</f>
        <v>Ознакомиться</v>
      </c>
      <c r="W436" s="8" t="s">
        <v>228</v>
      </c>
      <c r="X436" s="6"/>
      <c r="Y436" s="6"/>
      <c r="Z436" s="6"/>
      <c r="AA436" s="6" t="s">
        <v>910</v>
      </c>
    </row>
    <row r="437" spans="1:27" s="4" customFormat="1" ht="51.95" customHeight="1">
      <c r="A437" s="5">
        <v>0</v>
      </c>
      <c r="B437" s="6" t="s">
        <v>2757</v>
      </c>
      <c r="C437" s="7">
        <v>2190</v>
      </c>
      <c r="D437" s="8" t="s">
        <v>2758</v>
      </c>
      <c r="E437" s="8" t="s">
        <v>2759</v>
      </c>
      <c r="F437" s="8" t="s">
        <v>2760</v>
      </c>
      <c r="G437" s="6" t="s">
        <v>37</v>
      </c>
      <c r="H437" s="6" t="s">
        <v>38</v>
      </c>
      <c r="I437" s="8" t="s">
        <v>173</v>
      </c>
      <c r="J437" s="9">
        <v>1</v>
      </c>
      <c r="K437" s="9">
        <v>511</v>
      </c>
      <c r="L437" s="9">
        <v>2023</v>
      </c>
      <c r="M437" s="8" t="s">
        <v>2761</v>
      </c>
      <c r="N437" s="8" t="s">
        <v>56</v>
      </c>
      <c r="O437" s="8" t="s">
        <v>57</v>
      </c>
      <c r="P437" s="6" t="s">
        <v>150</v>
      </c>
      <c r="Q437" s="8" t="s">
        <v>89</v>
      </c>
      <c r="R437" s="10" t="s">
        <v>2762</v>
      </c>
      <c r="S437" s="11" t="s">
        <v>2763</v>
      </c>
      <c r="T437" s="6" t="s">
        <v>46</v>
      </c>
      <c r="U437" s="27" t="str">
        <f>HYPERLINK("https://media.infra-m.ru/1860/1860811/cover/1860811.jpg", "Обложка")</f>
        <v>Обложка</v>
      </c>
      <c r="V437" s="27" t="str">
        <f>HYPERLINK("https://znanium.com/catalog/product/1860811", "Ознакомиться")</f>
        <v>Ознакомиться</v>
      </c>
      <c r="W437" s="8" t="s">
        <v>401</v>
      </c>
      <c r="X437" s="6"/>
      <c r="Y437" s="6"/>
      <c r="Z437" s="6"/>
      <c r="AA437" s="6" t="s">
        <v>117</v>
      </c>
    </row>
    <row r="438" spans="1:27" s="4" customFormat="1" ht="51.95" customHeight="1">
      <c r="A438" s="5">
        <v>0</v>
      </c>
      <c r="B438" s="6" t="s">
        <v>2764</v>
      </c>
      <c r="C438" s="7">
        <v>1444.9</v>
      </c>
      <c r="D438" s="8" t="s">
        <v>2765</v>
      </c>
      <c r="E438" s="8" t="s">
        <v>2766</v>
      </c>
      <c r="F438" s="8" t="s">
        <v>2767</v>
      </c>
      <c r="G438" s="6" t="s">
        <v>165</v>
      </c>
      <c r="H438" s="6" t="s">
        <v>248</v>
      </c>
      <c r="I438" s="8"/>
      <c r="J438" s="9">
        <v>1</v>
      </c>
      <c r="K438" s="9">
        <v>320</v>
      </c>
      <c r="L438" s="9">
        <v>2023</v>
      </c>
      <c r="M438" s="8" t="s">
        <v>2768</v>
      </c>
      <c r="N438" s="8" t="s">
        <v>41</v>
      </c>
      <c r="O438" s="8" t="s">
        <v>42</v>
      </c>
      <c r="P438" s="6" t="s">
        <v>77</v>
      </c>
      <c r="Q438" s="8" t="s">
        <v>89</v>
      </c>
      <c r="R438" s="10" t="s">
        <v>2769</v>
      </c>
      <c r="S438" s="11"/>
      <c r="T438" s="6"/>
      <c r="U438" s="27" t="str">
        <f>HYPERLINK("https://media.infra-m.ru/1911/1911202/cover/1911202.jpg", "Обложка")</f>
        <v>Обложка</v>
      </c>
      <c r="V438" s="27" t="str">
        <f>HYPERLINK("https://znanium.com/catalog/product/1852220", "Ознакомиться")</f>
        <v>Ознакомиться</v>
      </c>
      <c r="W438" s="8" t="s">
        <v>503</v>
      </c>
      <c r="X438" s="6"/>
      <c r="Y438" s="6"/>
      <c r="Z438" s="6"/>
      <c r="AA438" s="6" t="s">
        <v>208</v>
      </c>
    </row>
    <row r="439" spans="1:27" s="4" customFormat="1" ht="51.95" customHeight="1">
      <c r="A439" s="5">
        <v>0</v>
      </c>
      <c r="B439" s="6" t="s">
        <v>2770</v>
      </c>
      <c r="C439" s="13">
        <v>990</v>
      </c>
      <c r="D439" s="8" t="s">
        <v>2771</v>
      </c>
      <c r="E439" s="8" t="s">
        <v>2772</v>
      </c>
      <c r="F439" s="8" t="s">
        <v>2773</v>
      </c>
      <c r="G439" s="6" t="s">
        <v>37</v>
      </c>
      <c r="H439" s="6" t="s">
        <v>38</v>
      </c>
      <c r="I439" s="8" t="s">
        <v>173</v>
      </c>
      <c r="J439" s="9">
        <v>1</v>
      </c>
      <c r="K439" s="9">
        <v>262</v>
      </c>
      <c r="L439" s="9">
        <v>2022</v>
      </c>
      <c r="M439" s="8" t="s">
        <v>2774</v>
      </c>
      <c r="N439" s="8" t="s">
        <v>56</v>
      </c>
      <c r="O439" s="8" t="s">
        <v>57</v>
      </c>
      <c r="P439" s="6" t="s">
        <v>77</v>
      </c>
      <c r="Q439" s="8" t="s">
        <v>89</v>
      </c>
      <c r="R439" s="10" t="s">
        <v>2775</v>
      </c>
      <c r="S439" s="11" t="s">
        <v>2776</v>
      </c>
      <c r="T439" s="6"/>
      <c r="U439" s="27" t="str">
        <f>HYPERLINK("https://media.infra-m.ru/1864/1864123/cover/1864123.jpg", "Обложка")</f>
        <v>Обложка</v>
      </c>
      <c r="V439" s="27" t="str">
        <f>HYPERLINK("https://znanium.com/catalog/product/1864123", "Ознакомиться")</f>
        <v>Ознакомиться</v>
      </c>
      <c r="W439" s="8" t="s">
        <v>503</v>
      </c>
      <c r="X439" s="6"/>
      <c r="Y439" s="6"/>
      <c r="Z439" s="6"/>
      <c r="AA439" s="6" t="s">
        <v>136</v>
      </c>
    </row>
    <row r="440" spans="1:27" s="4" customFormat="1" ht="51.95" customHeight="1">
      <c r="A440" s="5">
        <v>0</v>
      </c>
      <c r="B440" s="6" t="s">
        <v>2777</v>
      </c>
      <c r="C440" s="7">
        <v>1754.9</v>
      </c>
      <c r="D440" s="8" t="s">
        <v>2778</v>
      </c>
      <c r="E440" s="8" t="s">
        <v>2779</v>
      </c>
      <c r="F440" s="8" t="s">
        <v>2780</v>
      </c>
      <c r="G440" s="6" t="s">
        <v>37</v>
      </c>
      <c r="H440" s="6" t="s">
        <v>38</v>
      </c>
      <c r="I440" s="8" t="s">
        <v>54</v>
      </c>
      <c r="J440" s="9">
        <v>1</v>
      </c>
      <c r="K440" s="9">
        <v>389</v>
      </c>
      <c r="L440" s="9">
        <v>2023</v>
      </c>
      <c r="M440" s="8" t="s">
        <v>2781</v>
      </c>
      <c r="N440" s="8" t="s">
        <v>56</v>
      </c>
      <c r="O440" s="8" t="s">
        <v>57</v>
      </c>
      <c r="P440" s="6" t="s">
        <v>58</v>
      </c>
      <c r="Q440" s="8" t="s">
        <v>44</v>
      </c>
      <c r="R440" s="10" t="s">
        <v>2782</v>
      </c>
      <c r="S440" s="11"/>
      <c r="T440" s="6"/>
      <c r="U440" s="27" t="str">
        <f>HYPERLINK("https://media.infra-m.ru/2002/2002594/cover/2002594.jpg", "Обложка")</f>
        <v>Обложка</v>
      </c>
      <c r="V440" s="27" t="str">
        <f>HYPERLINK("https://znanium.com/catalog/product/1144436", "Ознакомиться")</f>
        <v>Ознакомиться</v>
      </c>
      <c r="W440" s="8" t="s">
        <v>2783</v>
      </c>
      <c r="X440" s="6"/>
      <c r="Y440" s="6" t="s">
        <v>30</v>
      </c>
      <c r="Z440" s="6"/>
      <c r="AA440" s="6" t="s">
        <v>543</v>
      </c>
    </row>
    <row r="441" spans="1:27" s="4" customFormat="1" ht="51.95" customHeight="1">
      <c r="A441" s="5">
        <v>0</v>
      </c>
      <c r="B441" s="6" t="s">
        <v>2784</v>
      </c>
      <c r="C441" s="13">
        <v>770</v>
      </c>
      <c r="D441" s="8" t="s">
        <v>2785</v>
      </c>
      <c r="E441" s="8" t="s">
        <v>2786</v>
      </c>
      <c r="F441" s="8" t="s">
        <v>2787</v>
      </c>
      <c r="G441" s="6" t="s">
        <v>165</v>
      </c>
      <c r="H441" s="6" t="s">
        <v>38</v>
      </c>
      <c r="I441" s="8" t="s">
        <v>54</v>
      </c>
      <c r="J441" s="9">
        <v>1</v>
      </c>
      <c r="K441" s="9">
        <v>256</v>
      </c>
      <c r="L441" s="9">
        <v>2018</v>
      </c>
      <c r="M441" s="8" t="s">
        <v>2788</v>
      </c>
      <c r="N441" s="8" t="s">
        <v>56</v>
      </c>
      <c r="O441" s="8" t="s">
        <v>57</v>
      </c>
      <c r="P441" s="6" t="s">
        <v>58</v>
      </c>
      <c r="Q441" s="8" t="s">
        <v>44</v>
      </c>
      <c r="R441" s="10" t="s">
        <v>2782</v>
      </c>
      <c r="S441" s="11"/>
      <c r="T441" s="6"/>
      <c r="U441" s="27" t="str">
        <f>HYPERLINK("https://media.infra-m.ru/0961/0961435/cover/961435.jpg", "Обложка")</f>
        <v>Обложка</v>
      </c>
      <c r="V441" s="27" t="str">
        <f>HYPERLINK("https://znanium.com/catalog/product/1144436", "Ознакомиться")</f>
        <v>Ознакомиться</v>
      </c>
      <c r="W441" s="8" t="s">
        <v>2783</v>
      </c>
      <c r="X441" s="6"/>
      <c r="Y441" s="6" t="s">
        <v>30</v>
      </c>
      <c r="Z441" s="6"/>
      <c r="AA441" s="6" t="s">
        <v>48</v>
      </c>
    </row>
    <row r="442" spans="1:27" s="4" customFormat="1" ht="51.95" customHeight="1">
      <c r="A442" s="5">
        <v>0</v>
      </c>
      <c r="B442" s="6" t="s">
        <v>2789</v>
      </c>
      <c r="C442" s="7">
        <v>1180</v>
      </c>
      <c r="D442" s="8" t="s">
        <v>2790</v>
      </c>
      <c r="E442" s="8" t="s">
        <v>2791</v>
      </c>
      <c r="F442" s="8" t="s">
        <v>1339</v>
      </c>
      <c r="G442" s="6" t="s">
        <v>37</v>
      </c>
      <c r="H442" s="6" t="s">
        <v>248</v>
      </c>
      <c r="I442" s="8"/>
      <c r="J442" s="9">
        <v>1</v>
      </c>
      <c r="K442" s="9">
        <v>256</v>
      </c>
      <c r="L442" s="9">
        <v>2024</v>
      </c>
      <c r="M442" s="8" t="s">
        <v>2792</v>
      </c>
      <c r="N442" s="8" t="s">
        <v>56</v>
      </c>
      <c r="O442" s="8" t="s">
        <v>57</v>
      </c>
      <c r="P442" s="6" t="s">
        <v>77</v>
      </c>
      <c r="Q442" s="8" t="s">
        <v>316</v>
      </c>
      <c r="R442" s="10" t="s">
        <v>2793</v>
      </c>
      <c r="S442" s="11" t="s">
        <v>2794</v>
      </c>
      <c r="T442" s="6"/>
      <c r="U442" s="27" t="str">
        <f>HYPERLINK("https://media.infra-m.ru/2080/2080334/cover/2080334.jpg", "Обложка")</f>
        <v>Обложка</v>
      </c>
      <c r="V442" s="27" t="str">
        <f>HYPERLINK("https://znanium.com/catalog/product/2080334", "Ознакомиться")</f>
        <v>Ознакомиться</v>
      </c>
      <c r="W442" s="8" t="s">
        <v>228</v>
      </c>
      <c r="X442" s="6"/>
      <c r="Y442" s="6"/>
      <c r="Z442" s="6"/>
      <c r="AA442" s="6" t="s">
        <v>2795</v>
      </c>
    </row>
    <row r="443" spans="1:27" s="4" customFormat="1" ht="51.95" customHeight="1">
      <c r="A443" s="5">
        <v>0</v>
      </c>
      <c r="B443" s="6" t="s">
        <v>2796</v>
      </c>
      <c r="C443" s="7">
        <v>1280</v>
      </c>
      <c r="D443" s="8" t="s">
        <v>2797</v>
      </c>
      <c r="E443" s="8" t="s">
        <v>2798</v>
      </c>
      <c r="F443" s="8" t="s">
        <v>2799</v>
      </c>
      <c r="G443" s="6" t="s">
        <v>37</v>
      </c>
      <c r="H443" s="6" t="s">
        <v>87</v>
      </c>
      <c r="I443" s="8" t="s">
        <v>609</v>
      </c>
      <c r="J443" s="9">
        <v>1</v>
      </c>
      <c r="K443" s="9">
        <v>335</v>
      </c>
      <c r="L443" s="9">
        <v>2022</v>
      </c>
      <c r="M443" s="8" t="s">
        <v>2800</v>
      </c>
      <c r="N443" s="8" t="s">
        <v>56</v>
      </c>
      <c r="O443" s="8" t="s">
        <v>57</v>
      </c>
      <c r="P443" s="6" t="s">
        <v>150</v>
      </c>
      <c r="Q443" s="8" t="s">
        <v>78</v>
      </c>
      <c r="R443" s="10" t="s">
        <v>2801</v>
      </c>
      <c r="S443" s="11" t="s">
        <v>2802</v>
      </c>
      <c r="T443" s="6"/>
      <c r="U443" s="27" t="str">
        <f>HYPERLINK("https://media.infra-m.ru/1866/1866999/cover/1866999.jpg", "Обложка")</f>
        <v>Обложка</v>
      </c>
      <c r="V443" s="27" t="str">
        <f>HYPERLINK("https://znanium.com/catalog/product/1866999", "Ознакомиться")</f>
        <v>Ознакомиться</v>
      </c>
      <c r="W443" s="8" t="s">
        <v>386</v>
      </c>
      <c r="X443" s="6"/>
      <c r="Y443" s="6"/>
      <c r="Z443" s="6"/>
      <c r="AA443" s="6" t="s">
        <v>2803</v>
      </c>
    </row>
    <row r="444" spans="1:27" s="4" customFormat="1" ht="51.95" customHeight="1">
      <c r="A444" s="5">
        <v>0</v>
      </c>
      <c r="B444" s="6" t="s">
        <v>2804</v>
      </c>
      <c r="C444" s="7">
        <v>1520</v>
      </c>
      <c r="D444" s="8" t="s">
        <v>2805</v>
      </c>
      <c r="E444" s="8" t="s">
        <v>2806</v>
      </c>
      <c r="F444" s="8" t="s">
        <v>2807</v>
      </c>
      <c r="G444" s="6" t="s">
        <v>37</v>
      </c>
      <c r="H444" s="6" t="s">
        <v>38</v>
      </c>
      <c r="I444" s="8" t="s">
        <v>173</v>
      </c>
      <c r="J444" s="9">
        <v>1</v>
      </c>
      <c r="K444" s="9">
        <v>336</v>
      </c>
      <c r="L444" s="9">
        <v>2023</v>
      </c>
      <c r="M444" s="8" t="s">
        <v>2808</v>
      </c>
      <c r="N444" s="8" t="s">
        <v>56</v>
      </c>
      <c r="O444" s="8" t="s">
        <v>57</v>
      </c>
      <c r="P444" s="6" t="s">
        <v>150</v>
      </c>
      <c r="Q444" s="8" t="s">
        <v>89</v>
      </c>
      <c r="R444" s="10" t="s">
        <v>2809</v>
      </c>
      <c r="S444" s="11" t="s">
        <v>2436</v>
      </c>
      <c r="T444" s="6" t="s">
        <v>46</v>
      </c>
      <c r="U444" s="27" t="str">
        <f>HYPERLINK("https://media.infra-m.ru/1939/1939093/cover/1939093.jpg", "Обложка")</f>
        <v>Обложка</v>
      </c>
      <c r="V444" s="27" t="str">
        <f>HYPERLINK("https://znanium.com/catalog/product/1939093", "Ознакомиться")</f>
        <v>Ознакомиться</v>
      </c>
      <c r="W444" s="8" t="s">
        <v>2358</v>
      </c>
      <c r="X444" s="6"/>
      <c r="Y444" s="6"/>
      <c r="Z444" s="6"/>
      <c r="AA444" s="6" t="s">
        <v>109</v>
      </c>
    </row>
    <row r="445" spans="1:27" s="4" customFormat="1" ht="51.95" customHeight="1">
      <c r="A445" s="5">
        <v>0</v>
      </c>
      <c r="B445" s="6" t="s">
        <v>2810</v>
      </c>
      <c r="C445" s="7">
        <v>1694.9</v>
      </c>
      <c r="D445" s="8" t="s">
        <v>2811</v>
      </c>
      <c r="E445" s="8" t="s">
        <v>2812</v>
      </c>
      <c r="F445" s="8" t="s">
        <v>2813</v>
      </c>
      <c r="G445" s="6" t="s">
        <v>165</v>
      </c>
      <c r="H445" s="6" t="s">
        <v>87</v>
      </c>
      <c r="I445" s="8" t="s">
        <v>183</v>
      </c>
      <c r="J445" s="9">
        <v>1</v>
      </c>
      <c r="K445" s="9">
        <v>496</v>
      </c>
      <c r="L445" s="9">
        <v>2020</v>
      </c>
      <c r="M445" s="8" t="s">
        <v>2814</v>
      </c>
      <c r="N445" s="8" t="s">
        <v>56</v>
      </c>
      <c r="O445" s="8" t="s">
        <v>57</v>
      </c>
      <c r="P445" s="6" t="s">
        <v>77</v>
      </c>
      <c r="Q445" s="8" t="s">
        <v>89</v>
      </c>
      <c r="R445" s="10" t="s">
        <v>832</v>
      </c>
      <c r="S445" s="11" t="s">
        <v>2815</v>
      </c>
      <c r="T445" s="6"/>
      <c r="U445" s="27" t="str">
        <f>HYPERLINK("https://media.infra-m.ru/1042/1042114/cover/1042114.jpg", "Обложка")</f>
        <v>Обложка</v>
      </c>
      <c r="V445" s="27" t="str">
        <f>HYPERLINK("https://znanium.com/catalog/product/1121567", "Ознакомиться")</f>
        <v>Ознакомиться</v>
      </c>
      <c r="W445" s="8" t="s">
        <v>386</v>
      </c>
      <c r="X445" s="6"/>
      <c r="Y445" s="6"/>
      <c r="Z445" s="6"/>
      <c r="AA445" s="6" t="s">
        <v>394</v>
      </c>
    </row>
    <row r="446" spans="1:27" s="4" customFormat="1" ht="51.95" customHeight="1">
      <c r="A446" s="5">
        <v>0</v>
      </c>
      <c r="B446" s="6" t="s">
        <v>2816</v>
      </c>
      <c r="C446" s="13">
        <v>864.9</v>
      </c>
      <c r="D446" s="8" t="s">
        <v>2817</v>
      </c>
      <c r="E446" s="8" t="s">
        <v>2806</v>
      </c>
      <c r="F446" s="8" t="s">
        <v>1536</v>
      </c>
      <c r="G446" s="6" t="s">
        <v>37</v>
      </c>
      <c r="H446" s="6" t="s">
        <v>878</v>
      </c>
      <c r="I446" s="8" t="s">
        <v>75</v>
      </c>
      <c r="J446" s="9">
        <v>1</v>
      </c>
      <c r="K446" s="9">
        <v>192</v>
      </c>
      <c r="L446" s="9">
        <v>2023</v>
      </c>
      <c r="M446" s="8" t="s">
        <v>2818</v>
      </c>
      <c r="N446" s="8" t="s">
        <v>56</v>
      </c>
      <c r="O446" s="8" t="s">
        <v>57</v>
      </c>
      <c r="P446" s="6" t="s">
        <v>77</v>
      </c>
      <c r="Q446" s="8" t="s">
        <v>78</v>
      </c>
      <c r="R446" s="10" t="s">
        <v>2819</v>
      </c>
      <c r="S446" s="11" t="s">
        <v>2820</v>
      </c>
      <c r="T446" s="6"/>
      <c r="U446" s="27" t="str">
        <f>HYPERLINK("https://media.infra-m.ru/1971/1971062/cover/1971062.jpg", "Обложка")</f>
        <v>Обложка</v>
      </c>
      <c r="V446" s="27" t="str">
        <f>HYPERLINK("https://znanium.com/catalog/product/1834746", "Ознакомиться")</f>
        <v>Ознакомиться</v>
      </c>
      <c r="W446" s="8" t="s">
        <v>874</v>
      </c>
      <c r="X446" s="6"/>
      <c r="Y446" s="6"/>
      <c r="Z446" s="6"/>
      <c r="AA446" s="6" t="s">
        <v>550</v>
      </c>
    </row>
    <row r="447" spans="1:27" s="4" customFormat="1" ht="51.95" customHeight="1">
      <c r="A447" s="5">
        <v>0</v>
      </c>
      <c r="B447" s="6" t="s">
        <v>2821</v>
      </c>
      <c r="C447" s="7">
        <v>2490</v>
      </c>
      <c r="D447" s="8" t="s">
        <v>2822</v>
      </c>
      <c r="E447" s="8" t="s">
        <v>2798</v>
      </c>
      <c r="F447" s="8" t="s">
        <v>2823</v>
      </c>
      <c r="G447" s="6" t="s">
        <v>165</v>
      </c>
      <c r="H447" s="6" t="s">
        <v>38</v>
      </c>
      <c r="I447" s="8" t="s">
        <v>183</v>
      </c>
      <c r="J447" s="9">
        <v>1</v>
      </c>
      <c r="K447" s="9">
        <v>544</v>
      </c>
      <c r="L447" s="9">
        <v>2023</v>
      </c>
      <c r="M447" s="8" t="s">
        <v>2824</v>
      </c>
      <c r="N447" s="8" t="s">
        <v>56</v>
      </c>
      <c r="O447" s="8" t="s">
        <v>57</v>
      </c>
      <c r="P447" s="6" t="s">
        <v>77</v>
      </c>
      <c r="Q447" s="8" t="s">
        <v>89</v>
      </c>
      <c r="R447" s="10" t="s">
        <v>832</v>
      </c>
      <c r="S447" s="11" t="s">
        <v>2825</v>
      </c>
      <c r="T447" s="6"/>
      <c r="U447" s="27" t="str">
        <f>HYPERLINK("https://media.infra-m.ru/1121/1121567/cover/1121567.jpg", "Обложка")</f>
        <v>Обложка</v>
      </c>
      <c r="V447" s="27" t="str">
        <f>HYPERLINK("https://znanium.com/catalog/product/1121567", "Ознакомиться")</f>
        <v>Ознакомиться</v>
      </c>
      <c r="W447" s="8" t="s">
        <v>386</v>
      </c>
      <c r="X447" s="6" t="s">
        <v>2826</v>
      </c>
      <c r="Y447" s="6"/>
      <c r="Z447" s="6"/>
      <c r="AA447" s="6" t="s">
        <v>1230</v>
      </c>
    </row>
    <row r="448" spans="1:27" s="4" customFormat="1" ht="42" customHeight="1">
      <c r="A448" s="5">
        <v>0</v>
      </c>
      <c r="B448" s="6" t="s">
        <v>2827</v>
      </c>
      <c r="C448" s="7">
        <v>1454.9</v>
      </c>
      <c r="D448" s="8" t="s">
        <v>2828</v>
      </c>
      <c r="E448" s="8" t="s">
        <v>2829</v>
      </c>
      <c r="F448" s="8" t="s">
        <v>2830</v>
      </c>
      <c r="G448" s="6" t="s">
        <v>165</v>
      </c>
      <c r="H448" s="6" t="s">
        <v>723</v>
      </c>
      <c r="I448" s="8"/>
      <c r="J448" s="9">
        <v>1</v>
      </c>
      <c r="K448" s="9">
        <v>384</v>
      </c>
      <c r="L448" s="9">
        <v>2022</v>
      </c>
      <c r="M448" s="8" t="s">
        <v>2831</v>
      </c>
      <c r="N448" s="8" t="s">
        <v>41</v>
      </c>
      <c r="O448" s="8" t="s">
        <v>42</v>
      </c>
      <c r="P448" s="6" t="s">
        <v>77</v>
      </c>
      <c r="Q448" s="8" t="s">
        <v>89</v>
      </c>
      <c r="R448" s="10" t="s">
        <v>2832</v>
      </c>
      <c r="S448" s="11"/>
      <c r="T448" s="6"/>
      <c r="U448" s="27" t="str">
        <f>HYPERLINK("https://media.infra-m.ru/1843/1843625/cover/1843625.jpg", "Обложка")</f>
        <v>Обложка</v>
      </c>
      <c r="V448" s="27" t="str">
        <f>HYPERLINK("https://znanium.com/catalog/product/1843625", "Ознакомиться")</f>
        <v>Ознакомиться</v>
      </c>
      <c r="W448" s="8" t="s">
        <v>401</v>
      </c>
      <c r="X448" s="6"/>
      <c r="Y448" s="6"/>
      <c r="Z448" s="6"/>
      <c r="AA448" s="6" t="s">
        <v>250</v>
      </c>
    </row>
    <row r="449" spans="1:27" s="4" customFormat="1" ht="42" customHeight="1">
      <c r="A449" s="5">
        <v>0</v>
      </c>
      <c r="B449" s="6" t="s">
        <v>2833</v>
      </c>
      <c r="C449" s="7">
        <v>1004.9</v>
      </c>
      <c r="D449" s="8" t="s">
        <v>2834</v>
      </c>
      <c r="E449" s="8" t="s">
        <v>2835</v>
      </c>
      <c r="F449" s="8" t="s">
        <v>2836</v>
      </c>
      <c r="G449" s="6" t="s">
        <v>53</v>
      </c>
      <c r="H449" s="6" t="s">
        <v>87</v>
      </c>
      <c r="I449" s="8"/>
      <c r="J449" s="9">
        <v>1</v>
      </c>
      <c r="K449" s="9">
        <v>224</v>
      </c>
      <c r="L449" s="9">
        <v>2023</v>
      </c>
      <c r="M449" s="8" t="s">
        <v>2837</v>
      </c>
      <c r="N449" s="8" t="s">
        <v>56</v>
      </c>
      <c r="O449" s="8" t="s">
        <v>57</v>
      </c>
      <c r="P449" s="6" t="s">
        <v>58</v>
      </c>
      <c r="Q449" s="8" t="s">
        <v>44</v>
      </c>
      <c r="R449" s="10" t="s">
        <v>2838</v>
      </c>
      <c r="S449" s="11"/>
      <c r="T449" s="6"/>
      <c r="U449" s="27" t="str">
        <f>HYPERLINK("https://media.infra-m.ru/1979/1979151/cover/1979151.jpg", "Обложка")</f>
        <v>Обложка</v>
      </c>
      <c r="V449" s="12"/>
      <c r="W449" s="8" t="s">
        <v>2839</v>
      </c>
      <c r="X449" s="6"/>
      <c r="Y449" s="6"/>
      <c r="Z449" s="6"/>
      <c r="AA449" s="6" t="s">
        <v>394</v>
      </c>
    </row>
    <row r="450" spans="1:27" s="4" customFormat="1" ht="51.95" customHeight="1">
      <c r="A450" s="5">
        <v>0</v>
      </c>
      <c r="B450" s="6" t="s">
        <v>2840</v>
      </c>
      <c r="C450" s="13">
        <v>924</v>
      </c>
      <c r="D450" s="8" t="s">
        <v>2841</v>
      </c>
      <c r="E450" s="8" t="s">
        <v>2842</v>
      </c>
      <c r="F450" s="8" t="s">
        <v>2843</v>
      </c>
      <c r="G450" s="6" t="s">
        <v>53</v>
      </c>
      <c r="H450" s="6" t="s">
        <v>38</v>
      </c>
      <c r="I450" s="8" t="s">
        <v>54</v>
      </c>
      <c r="J450" s="9">
        <v>1</v>
      </c>
      <c r="K450" s="9">
        <v>183</v>
      </c>
      <c r="L450" s="9">
        <v>2023</v>
      </c>
      <c r="M450" s="8" t="s">
        <v>2844</v>
      </c>
      <c r="N450" s="8" t="s">
        <v>41</v>
      </c>
      <c r="O450" s="8" t="s">
        <v>42</v>
      </c>
      <c r="P450" s="6" t="s">
        <v>58</v>
      </c>
      <c r="Q450" s="8" t="s">
        <v>44</v>
      </c>
      <c r="R450" s="10" t="s">
        <v>2845</v>
      </c>
      <c r="S450" s="11"/>
      <c r="T450" s="6"/>
      <c r="U450" s="27" t="str">
        <f>HYPERLINK("https://media.infra-m.ru/2091/2091338/cover/2091338.jpg", "Обложка")</f>
        <v>Обложка</v>
      </c>
      <c r="V450" s="27" t="str">
        <f>HYPERLINK("https://znanium.com/catalog/product/1971849", "Ознакомиться")</f>
        <v>Ознакомиться</v>
      </c>
      <c r="W450" s="8" t="s">
        <v>562</v>
      </c>
      <c r="X450" s="6"/>
      <c r="Y450" s="6"/>
      <c r="Z450" s="6"/>
      <c r="AA450" s="6" t="s">
        <v>61</v>
      </c>
    </row>
    <row r="451" spans="1:27" s="4" customFormat="1" ht="51.95" customHeight="1">
      <c r="A451" s="5">
        <v>0</v>
      </c>
      <c r="B451" s="6" t="s">
        <v>2846</v>
      </c>
      <c r="C451" s="7">
        <v>1610</v>
      </c>
      <c r="D451" s="8" t="s">
        <v>2847</v>
      </c>
      <c r="E451" s="8" t="s">
        <v>2848</v>
      </c>
      <c r="F451" s="8" t="s">
        <v>2849</v>
      </c>
      <c r="G451" s="6" t="s">
        <v>37</v>
      </c>
      <c r="H451" s="6" t="s">
        <v>38</v>
      </c>
      <c r="I451" s="8" t="s">
        <v>183</v>
      </c>
      <c r="J451" s="9">
        <v>1</v>
      </c>
      <c r="K451" s="9">
        <v>357</v>
      </c>
      <c r="L451" s="9">
        <v>2023</v>
      </c>
      <c r="M451" s="8" t="s">
        <v>2850</v>
      </c>
      <c r="N451" s="8" t="s">
        <v>41</v>
      </c>
      <c r="O451" s="8" t="s">
        <v>42</v>
      </c>
      <c r="P451" s="6" t="s">
        <v>150</v>
      </c>
      <c r="Q451" s="8" t="s">
        <v>89</v>
      </c>
      <c r="R451" s="10" t="s">
        <v>442</v>
      </c>
      <c r="S451" s="11" t="s">
        <v>2851</v>
      </c>
      <c r="T451" s="6"/>
      <c r="U451" s="27" t="str">
        <f>HYPERLINK("https://media.infra-m.ru/2061/2061312/cover/2061312.jpg", "Обложка")</f>
        <v>Обложка</v>
      </c>
      <c r="V451" s="27" t="str">
        <f>HYPERLINK("https://znanium.com/catalog/product/1914004", "Ознакомиться")</f>
        <v>Ознакомиться</v>
      </c>
      <c r="W451" s="8" t="s">
        <v>81</v>
      </c>
      <c r="X451" s="6"/>
      <c r="Y451" s="6"/>
      <c r="Z451" s="6"/>
      <c r="AA451" s="6" t="s">
        <v>317</v>
      </c>
    </row>
    <row r="452" spans="1:27" s="4" customFormat="1" ht="33" customHeight="1">
      <c r="A452" s="5">
        <v>0</v>
      </c>
      <c r="B452" s="6" t="s">
        <v>2852</v>
      </c>
      <c r="C452" s="13">
        <v>64.900000000000006</v>
      </c>
      <c r="D452" s="8" t="s">
        <v>2853</v>
      </c>
      <c r="E452" s="8" t="s">
        <v>2854</v>
      </c>
      <c r="F452" s="8"/>
      <c r="G452" s="6" t="s">
        <v>53</v>
      </c>
      <c r="H452" s="6" t="s">
        <v>608</v>
      </c>
      <c r="I452" s="8" t="s">
        <v>1857</v>
      </c>
      <c r="J452" s="9">
        <v>1</v>
      </c>
      <c r="K452" s="9">
        <v>96</v>
      </c>
      <c r="L452" s="9">
        <v>2017</v>
      </c>
      <c r="M452" s="8" t="s">
        <v>2855</v>
      </c>
      <c r="N452" s="8" t="s">
        <v>56</v>
      </c>
      <c r="O452" s="8" t="s">
        <v>57</v>
      </c>
      <c r="P452" s="6" t="s">
        <v>1859</v>
      </c>
      <c r="Q452" s="8" t="s">
        <v>89</v>
      </c>
      <c r="R452" s="10" t="s">
        <v>2856</v>
      </c>
      <c r="S452" s="11"/>
      <c r="T452" s="6"/>
      <c r="U452" s="12"/>
      <c r="V452" s="27" t="str">
        <f>HYPERLINK("https://znanium.com/catalog/product/199232", "Ознакомиться")</f>
        <v>Ознакомиться</v>
      </c>
      <c r="W452" s="8"/>
      <c r="X452" s="6"/>
      <c r="Y452" s="6"/>
      <c r="Z452" s="6"/>
      <c r="AA452" s="6" t="s">
        <v>550</v>
      </c>
    </row>
    <row r="453" spans="1:27" s="4" customFormat="1" ht="51.95" customHeight="1">
      <c r="A453" s="5">
        <v>0</v>
      </c>
      <c r="B453" s="6" t="s">
        <v>2857</v>
      </c>
      <c r="C453" s="7">
        <v>1620</v>
      </c>
      <c r="D453" s="8" t="s">
        <v>2858</v>
      </c>
      <c r="E453" s="8" t="s">
        <v>2859</v>
      </c>
      <c r="F453" s="8" t="s">
        <v>1633</v>
      </c>
      <c r="G453" s="6" t="s">
        <v>37</v>
      </c>
      <c r="H453" s="6" t="s">
        <v>38</v>
      </c>
      <c r="I453" s="8" t="s">
        <v>122</v>
      </c>
      <c r="J453" s="9">
        <v>1</v>
      </c>
      <c r="K453" s="9">
        <v>352</v>
      </c>
      <c r="L453" s="9">
        <v>2024</v>
      </c>
      <c r="M453" s="8" t="s">
        <v>2860</v>
      </c>
      <c r="N453" s="8" t="s">
        <v>56</v>
      </c>
      <c r="O453" s="8" t="s">
        <v>57</v>
      </c>
      <c r="P453" s="6" t="s">
        <v>77</v>
      </c>
      <c r="Q453" s="8" t="s">
        <v>124</v>
      </c>
      <c r="R453" s="10" t="s">
        <v>2861</v>
      </c>
      <c r="S453" s="11" t="s">
        <v>1635</v>
      </c>
      <c r="T453" s="6" t="s">
        <v>46</v>
      </c>
      <c r="U453" s="27" t="str">
        <f>HYPERLINK("https://media.infra-m.ru/2102/2102185/cover/2102185.jpg", "Обложка")</f>
        <v>Обложка</v>
      </c>
      <c r="V453" s="27" t="str">
        <f>HYPERLINK("https://znanium.com/catalog/product/2102185", "Ознакомиться")</f>
        <v>Ознакомиться</v>
      </c>
      <c r="W453" s="8" t="s">
        <v>341</v>
      </c>
      <c r="X453" s="6"/>
      <c r="Y453" s="6"/>
      <c r="Z453" s="6"/>
      <c r="AA453" s="6" t="s">
        <v>317</v>
      </c>
    </row>
    <row r="454" spans="1:27" s="4" customFormat="1" ht="51.95" customHeight="1">
      <c r="A454" s="5">
        <v>0</v>
      </c>
      <c r="B454" s="6" t="s">
        <v>2862</v>
      </c>
      <c r="C454" s="7">
        <v>1120</v>
      </c>
      <c r="D454" s="8" t="s">
        <v>2863</v>
      </c>
      <c r="E454" s="8" t="s">
        <v>2864</v>
      </c>
      <c r="F454" s="8" t="s">
        <v>338</v>
      </c>
      <c r="G454" s="6" t="s">
        <v>37</v>
      </c>
      <c r="H454" s="6" t="s">
        <v>248</v>
      </c>
      <c r="I454" s="8" t="s">
        <v>248</v>
      </c>
      <c r="J454" s="9">
        <v>1</v>
      </c>
      <c r="K454" s="9">
        <v>348</v>
      </c>
      <c r="L454" s="9">
        <v>2019</v>
      </c>
      <c r="M454" s="8" t="s">
        <v>2865</v>
      </c>
      <c r="N454" s="8" t="s">
        <v>56</v>
      </c>
      <c r="O454" s="8" t="s">
        <v>57</v>
      </c>
      <c r="P454" s="6" t="s">
        <v>77</v>
      </c>
      <c r="Q454" s="8" t="s">
        <v>89</v>
      </c>
      <c r="R454" s="10" t="s">
        <v>2861</v>
      </c>
      <c r="S454" s="11"/>
      <c r="T454" s="6" t="s">
        <v>46</v>
      </c>
      <c r="U454" s="27" t="str">
        <f>HYPERLINK("https://media.infra-m.ru/1001/1001983/cover/1001983.jpg", "Обложка")</f>
        <v>Обложка</v>
      </c>
      <c r="V454" s="27" t="str">
        <f>HYPERLINK("https://znanium.com/catalog/product/2102185", "Ознакомиться")</f>
        <v>Ознакомиться</v>
      </c>
      <c r="W454" s="8" t="s">
        <v>341</v>
      </c>
      <c r="X454" s="6"/>
      <c r="Y454" s="6"/>
      <c r="Z454" s="6"/>
      <c r="AA454" s="6" t="s">
        <v>101</v>
      </c>
    </row>
    <row r="455" spans="1:27" s="4" customFormat="1" ht="42" customHeight="1">
      <c r="A455" s="5">
        <v>0</v>
      </c>
      <c r="B455" s="6" t="s">
        <v>2866</v>
      </c>
      <c r="C455" s="7">
        <v>1650</v>
      </c>
      <c r="D455" s="8" t="s">
        <v>2867</v>
      </c>
      <c r="E455" s="8" t="s">
        <v>2868</v>
      </c>
      <c r="F455" s="8"/>
      <c r="G455" s="6" t="s">
        <v>53</v>
      </c>
      <c r="H455" s="6" t="s">
        <v>38</v>
      </c>
      <c r="I455" s="8"/>
      <c r="J455" s="9">
        <v>1</v>
      </c>
      <c r="K455" s="9">
        <v>60</v>
      </c>
      <c r="L455" s="9">
        <v>2023</v>
      </c>
      <c r="M455" s="8"/>
      <c r="N455" s="8" t="s">
        <v>41</v>
      </c>
      <c r="O455" s="8" t="s">
        <v>42</v>
      </c>
      <c r="P455" s="6" t="s">
        <v>1240</v>
      </c>
      <c r="Q455" s="8"/>
      <c r="R455" s="10"/>
      <c r="S455" s="11"/>
      <c r="T455" s="6"/>
      <c r="U455" s="27" t="str">
        <f>HYPERLINK("https://media.infra-m.ru/1902/1902960/cover/1902960.jpg", "Обложка")</f>
        <v>Обложка</v>
      </c>
      <c r="V455" s="27" t="str">
        <f>HYPERLINK("https://znanium.com/catalog/product/1902960", "Ознакомиться")</f>
        <v>Ознакомиться</v>
      </c>
      <c r="W455" s="8"/>
      <c r="X455" s="6" t="s">
        <v>468</v>
      </c>
      <c r="Y455" s="6"/>
      <c r="Z455" s="6"/>
      <c r="AA455" s="6" t="s">
        <v>556</v>
      </c>
    </row>
    <row r="456" spans="1:27" s="4" customFormat="1" ht="51.95" customHeight="1">
      <c r="A456" s="5">
        <v>0</v>
      </c>
      <c r="B456" s="6" t="s">
        <v>2869</v>
      </c>
      <c r="C456" s="13">
        <v>890</v>
      </c>
      <c r="D456" s="8" t="s">
        <v>2870</v>
      </c>
      <c r="E456" s="8" t="s">
        <v>2871</v>
      </c>
      <c r="F456" s="8" t="s">
        <v>2872</v>
      </c>
      <c r="G456" s="6" t="s">
        <v>53</v>
      </c>
      <c r="H456" s="6" t="s">
        <v>38</v>
      </c>
      <c r="I456" s="8" t="s">
        <v>54</v>
      </c>
      <c r="J456" s="9">
        <v>1</v>
      </c>
      <c r="K456" s="9">
        <v>198</v>
      </c>
      <c r="L456" s="9">
        <v>2023</v>
      </c>
      <c r="M456" s="8" t="s">
        <v>2873</v>
      </c>
      <c r="N456" s="8" t="s">
        <v>41</v>
      </c>
      <c r="O456" s="8" t="s">
        <v>42</v>
      </c>
      <c r="P456" s="6" t="s">
        <v>58</v>
      </c>
      <c r="Q456" s="8" t="s">
        <v>44</v>
      </c>
      <c r="R456" s="10" t="s">
        <v>671</v>
      </c>
      <c r="S456" s="11"/>
      <c r="T456" s="6"/>
      <c r="U456" s="27" t="str">
        <f>HYPERLINK("https://media.infra-m.ru/1920/1920337/cover/1920337.jpg", "Обложка")</f>
        <v>Обложка</v>
      </c>
      <c r="V456" s="27" t="str">
        <f>HYPERLINK("https://znanium.com/catalog/product/1920337", "Ознакомиться")</f>
        <v>Ознакомиться</v>
      </c>
      <c r="W456" s="8" t="s">
        <v>970</v>
      </c>
      <c r="X456" s="6"/>
      <c r="Y456" s="6"/>
      <c r="Z456" s="6"/>
      <c r="AA456" s="6" t="s">
        <v>109</v>
      </c>
    </row>
    <row r="457" spans="1:27" s="4" customFormat="1" ht="44.1" customHeight="1">
      <c r="A457" s="5">
        <v>0</v>
      </c>
      <c r="B457" s="6" t="s">
        <v>2874</v>
      </c>
      <c r="C457" s="13">
        <v>774.9</v>
      </c>
      <c r="D457" s="8" t="s">
        <v>2875</v>
      </c>
      <c r="E457" s="8" t="s">
        <v>2876</v>
      </c>
      <c r="F457" s="8" t="s">
        <v>2877</v>
      </c>
      <c r="G457" s="6" t="s">
        <v>53</v>
      </c>
      <c r="H457" s="6" t="s">
        <v>38</v>
      </c>
      <c r="I457" s="8" t="s">
        <v>54</v>
      </c>
      <c r="J457" s="9">
        <v>1</v>
      </c>
      <c r="K457" s="9">
        <v>173</v>
      </c>
      <c r="L457" s="9">
        <v>2023</v>
      </c>
      <c r="M457" s="8" t="s">
        <v>2878</v>
      </c>
      <c r="N457" s="8" t="s">
        <v>41</v>
      </c>
      <c r="O457" s="8" t="s">
        <v>42</v>
      </c>
      <c r="P457" s="6" t="s">
        <v>58</v>
      </c>
      <c r="Q457" s="8" t="s">
        <v>44</v>
      </c>
      <c r="R457" s="10" t="s">
        <v>2722</v>
      </c>
      <c r="S457" s="11"/>
      <c r="T457" s="6"/>
      <c r="U457" s="27" t="str">
        <f>HYPERLINK("https://media.infra-m.ru/1964/1964980/cover/1964980.jpg", "Обложка")</f>
        <v>Обложка</v>
      </c>
      <c r="V457" s="27" t="str">
        <f>HYPERLINK("https://znanium.com/catalog/product/1007611", "Ознакомиться")</f>
        <v>Ознакомиться</v>
      </c>
      <c r="W457" s="8" t="s">
        <v>2879</v>
      </c>
      <c r="X457" s="6"/>
      <c r="Y457" s="6"/>
      <c r="Z457" s="6"/>
      <c r="AA457" s="6" t="s">
        <v>70</v>
      </c>
    </row>
    <row r="458" spans="1:27" s="4" customFormat="1" ht="42" customHeight="1">
      <c r="A458" s="5">
        <v>0</v>
      </c>
      <c r="B458" s="6" t="s">
        <v>2880</v>
      </c>
      <c r="C458" s="7">
        <v>2900</v>
      </c>
      <c r="D458" s="8" t="s">
        <v>2881</v>
      </c>
      <c r="E458" s="8" t="s">
        <v>2882</v>
      </c>
      <c r="F458" s="8" t="s">
        <v>2883</v>
      </c>
      <c r="G458" s="6" t="s">
        <v>165</v>
      </c>
      <c r="H458" s="6" t="s">
        <v>38</v>
      </c>
      <c r="I458" s="8" t="s">
        <v>937</v>
      </c>
      <c r="J458" s="9">
        <v>1</v>
      </c>
      <c r="K458" s="9">
        <v>292</v>
      </c>
      <c r="L458" s="9">
        <v>2023</v>
      </c>
      <c r="M458" s="8" t="s">
        <v>2884</v>
      </c>
      <c r="N458" s="8" t="s">
        <v>41</v>
      </c>
      <c r="O458" s="8" t="s">
        <v>42</v>
      </c>
      <c r="P458" s="6" t="s">
        <v>2885</v>
      </c>
      <c r="Q458" s="8" t="s">
        <v>316</v>
      </c>
      <c r="R458" s="10" t="s">
        <v>2886</v>
      </c>
      <c r="S458" s="11"/>
      <c r="T458" s="6"/>
      <c r="U458" s="27" t="str">
        <f>HYPERLINK("https://media.infra-m.ru/2108/2108469/cover/2108469.jpg", "Обложка")</f>
        <v>Обложка</v>
      </c>
      <c r="V458" s="27" t="str">
        <f>HYPERLINK("https://znanium.com/catalog/product/2108469", "Ознакомиться")</f>
        <v>Ознакомиться</v>
      </c>
      <c r="W458" s="8"/>
      <c r="X458" s="6" t="s">
        <v>468</v>
      </c>
      <c r="Y458" s="6"/>
      <c r="Z458" s="6"/>
      <c r="AA458" s="6" t="s">
        <v>61</v>
      </c>
    </row>
    <row r="459" spans="1:27" s="4" customFormat="1" ht="42" customHeight="1">
      <c r="A459" s="5">
        <v>0</v>
      </c>
      <c r="B459" s="6" t="s">
        <v>2887</v>
      </c>
      <c r="C459" s="13">
        <v>920</v>
      </c>
      <c r="D459" s="8" t="s">
        <v>2888</v>
      </c>
      <c r="E459" s="8" t="s">
        <v>2889</v>
      </c>
      <c r="F459" s="8" t="s">
        <v>2890</v>
      </c>
      <c r="G459" s="6" t="s">
        <v>53</v>
      </c>
      <c r="H459" s="6" t="s">
        <v>38</v>
      </c>
      <c r="I459" s="8" t="s">
        <v>54</v>
      </c>
      <c r="J459" s="9">
        <v>1</v>
      </c>
      <c r="K459" s="9">
        <v>242</v>
      </c>
      <c r="L459" s="9">
        <v>2022</v>
      </c>
      <c r="M459" s="8" t="s">
        <v>2891</v>
      </c>
      <c r="N459" s="8" t="s">
        <v>41</v>
      </c>
      <c r="O459" s="8" t="s">
        <v>42</v>
      </c>
      <c r="P459" s="6" t="s">
        <v>58</v>
      </c>
      <c r="Q459" s="8" t="s">
        <v>44</v>
      </c>
      <c r="R459" s="10" t="s">
        <v>2892</v>
      </c>
      <c r="S459" s="11"/>
      <c r="T459" s="6"/>
      <c r="U459" s="27" t="str">
        <f>HYPERLINK("https://media.infra-m.ru/1858/1858473/cover/1858473.jpg", "Обложка")</f>
        <v>Обложка</v>
      </c>
      <c r="V459" s="27" t="str">
        <f>HYPERLINK("https://znanium.com/catalog/product/1858473", "Ознакомиться")</f>
        <v>Ознакомиться</v>
      </c>
      <c r="W459" s="8" t="s">
        <v>154</v>
      </c>
      <c r="X459" s="6"/>
      <c r="Y459" s="6"/>
      <c r="Z459" s="6"/>
      <c r="AA459" s="6" t="s">
        <v>543</v>
      </c>
    </row>
    <row r="460" spans="1:27" s="4" customFormat="1" ht="44.1" customHeight="1">
      <c r="A460" s="5">
        <v>0</v>
      </c>
      <c r="B460" s="6" t="s">
        <v>2893</v>
      </c>
      <c r="C460" s="13">
        <v>654</v>
      </c>
      <c r="D460" s="8" t="s">
        <v>2894</v>
      </c>
      <c r="E460" s="8" t="s">
        <v>2895</v>
      </c>
      <c r="F460" s="8" t="s">
        <v>2896</v>
      </c>
      <c r="G460" s="6" t="s">
        <v>53</v>
      </c>
      <c r="H460" s="6" t="s">
        <v>608</v>
      </c>
      <c r="I460" s="8" t="s">
        <v>54</v>
      </c>
      <c r="J460" s="9">
        <v>1</v>
      </c>
      <c r="K460" s="9">
        <v>142</v>
      </c>
      <c r="L460" s="9">
        <v>2023</v>
      </c>
      <c r="M460" s="8" t="s">
        <v>2897</v>
      </c>
      <c r="N460" s="8" t="s">
        <v>41</v>
      </c>
      <c r="O460" s="8" t="s">
        <v>42</v>
      </c>
      <c r="P460" s="6" t="s">
        <v>58</v>
      </c>
      <c r="Q460" s="8" t="s">
        <v>44</v>
      </c>
      <c r="R460" s="10" t="s">
        <v>2898</v>
      </c>
      <c r="S460" s="11"/>
      <c r="T460" s="6"/>
      <c r="U460" s="27" t="str">
        <f>HYPERLINK("https://media.infra-m.ru/1933/1933135/cover/1933135.jpg", "Обложка")</f>
        <v>Обложка</v>
      </c>
      <c r="V460" s="27" t="str">
        <f>HYPERLINK("https://znanium.com/catalog/product/1009933", "Ознакомиться")</f>
        <v>Ознакомиться</v>
      </c>
      <c r="W460" s="8" t="s">
        <v>2899</v>
      </c>
      <c r="X460" s="6"/>
      <c r="Y460" s="6"/>
      <c r="Z460" s="6"/>
      <c r="AA460" s="6" t="s">
        <v>208</v>
      </c>
    </row>
    <row r="461" spans="1:27" s="4" customFormat="1" ht="51.95" customHeight="1">
      <c r="A461" s="5">
        <v>0</v>
      </c>
      <c r="B461" s="6" t="s">
        <v>2900</v>
      </c>
      <c r="C461" s="7">
        <v>2334</v>
      </c>
      <c r="D461" s="8" t="s">
        <v>2901</v>
      </c>
      <c r="E461" s="8" t="s">
        <v>2902</v>
      </c>
      <c r="F461" s="8" t="s">
        <v>299</v>
      </c>
      <c r="G461" s="6" t="s">
        <v>37</v>
      </c>
      <c r="H461" s="6" t="s">
        <v>38</v>
      </c>
      <c r="I461" s="8" t="s">
        <v>75</v>
      </c>
      <c r="J461" s="9">
        <v>1</v>
      </c>
      <c r="K461" s="9">
        <v>508</v>
      </c>
      <c r="L461" s="9">
        <v>2024</v>
      </c>
      <c r="M461" s="8" t="s">
        <v>2903</v>
      </c>
      <c r="N461" s="8" t="s">
        <v>41</v>
      </c>
      <c r="O461" s="8" t="s">
        <v>42</v>
      </c>
      <c r="P461" s="6" t="s">
        <v>77</v>
      </c>
      <c r="Q461" s="8" t="s">
        <v>78</v>
      </c>
      <c r="R461" s="10" t="s">
        <v>2904</v>
      </c>
      <c r="S461" s="11" t="s">
        <v>2905</v>
      </c>
      <c r="T461" s="6"/>
      <c r="U461" s="27" t="str">
        <f>HYPERLINK("https://media.infra-m.ru/2100/2100006/cover/2100006.jpg", "Обложка")</f>
        <v>Обложка</v>
      </c>
      <c r="V461" s="27" t="str">
        <f>HYPERLINK("https://znanium.com/catalog/product/2100005", "Ознакомиться")</f>
        <v>Ознакомиться</v>
      </c>
      <c r="W461" s="8" t="s">
        <v>116</v>
      </c>
      <c r="X461" s="6"/>
      <c r="Y461" s="6"/>
      <c r="Z461" s="6" t="s">
        <v>82</v>
      </c>
      <c r="AA461" s="6" t="s">
        <v>372</v>
      </c>
    </row>
    <row r="462" spans="1:27" s="4" customFormat="1" ht="51.95" customHeight="1">
      <c r="A462" s="5">
        <v>0</v>
      </c>
      <c r="B462" s="6" t="s">
        <v>2906</v>
      </c>
      <c r="C462" s="13">
        <v>674</v>
      </c>
      <c r="D462" s="8" t="s">
        <v>2907</v>
      </c>
      <c r="E462" s="8" t="s">
        <v>2908</v>
      </c>
      <c r="F462" s="8" t="s">
        <v>2909</v>
      </c>
      <c r="G462" s="6" t="s">
        <v>53</v>
      </c>
      <c r="H462" s="6" t="s">
        <v>38</v>
      </c>
      <c r="I462" s="8" t="s">
        <v>173</v>
      </c>
      <c r="J462" s="9">
        <v>1</v>
      </c>
      <c r="K462" s="9">
        <v>146</v>
      </c>
      <c r="L462" s="9">
        <v>2024</v>
      </c>
      <c r="M462" s="8" t="s">
        <v>2910</v>
      </c>
      <c r="N462" s="8" t="s">
        <v>41</v>
      </c>
      <c r="O462" s="8" t="s">
        <v>42</v>
      </c>
      <c r="P462" s="6" t="s">
        <v>150</v>
      </c>
      <c r="Q462" s="8" t="s">
        <v>89</v>
      </c>
      <c r="R462" s="10" t="s">
        <v>1136</v>
      </c>
      <c r="S462" s="11" t="s">
        <v>1147</v>
      </c>
      <c r="T462" s="6"/>
      <c r="U462" s="27" t="str">
        <f>HYPERLINK("https://media.infra-m.ru/2100/2100012/cover/2100012.jpg", "Обложка")</f>
        <v>Обложка</v>
      </c>
      <c r="V462" s="27" t="str">
        <f>HYPERLINK("https://znanium.com/catalog/product/1913036", "Ознакомиться")</f>
        <v>Ознакомиться</v>
      </c>
      <c r="W462" s="8" t="s">
        <v>116</v>
      </c>
      <c r="X462" s="6"/>
      <c r="Y462" s="6"/>
      <c r="Z462" s="6"/>
      <c r="AA462" s="6" t="s">
        <v>109</v>
      </c>
    </row>
    <row r="463" spans="1:27" s="4" customFormat="1" ht="51.95" customHeight="1">
      <c r="A463" s="5">
        <v>0</v>
      </c>
      <c r="B463" s="6" t="s">
        <v>2911</v>
      </c>
      <c r="C463" s="7">
        <v>1064.9000000000001</v>
      </c>
      <c r="D463" s="8" t="s">
        <v>2912</v>
      </c>
      <c r="E463" s="8" t="s">
        <v>2913</v>
      </c>
      <c r="F463" s="8" t="s">
        <v>2914</v>
      </c>
      <c r="G463" s="6" t="s">
        <v>37</v>
      </c>
      <c r="H463" s="6" t="s">
        <v>38</v>
      </c>
      <c r="I463" s="8" t="s">
        <v>173</v>
      </c>
      <c r="J463" s="9">
        <v>1</v>
      </c>
      <c r="K463" s="9">
        <v>237</v>
      </c>
      <c r="L463" s="9">
        <v>2023</v>
      </c>
      <c r="M463" s="8" t="s">
        <v>2915</v>
      </c>
      <c r="N463" s="8" t="s">
        <v>41</v>
      </c>
      <c r="O463" s="8" t="s">
        <v>42</v>
      </c>
      <c r="P463" s="6" t="s">
        <v>150</v>
      </c>
      <c r="Q463" s="8" t="s">
        <v>89</v>
      </c>
      <c r="R463" s="10" t="s">
        <v>295</v>
      </c>
      <c r="S463" s="11" t="s">
        <v>2916</v>
      </c>
      <c r="T463" s="6" t="s">
        <v>46</v>
      </c>
      <c r="U463" s="27" t="str">
        <f>HYPERLINK("https://media.infra-m.ru/2001/2001630/cover/2001630.jpg", "Обложка")</f>
        <v>Обложка</v>
      </c>
      <c r="V463" s="27" t="str">
        <f>HYPERLINK("https://znanium.com/catalog/product/1523862", "Ознакомиться")</f>
        <v>Ознакомиться</v>
      </c>
      <c r="W463" s="8" t="s">
        <v>116</v>
      </c>
      <c r="X463" s="6"/>
      <c r="Y463" s="6"/>
      <c r="Z463" s="6"/>
      <c r="AA463" s="6" t="s">
        <v>70</v>
      </c>
    </row>
    <row r="464" spans="1:27" s="4" customFormat="1" ht="51.95" customHeight="1">
      <c r="A464" s="5">
        <v>0</v>
      </c>
      <c r="B464" s="6" t="s">
        <v>2917</v>
      </c>
      <c r="C464" s="7">
        <v>1090</v>
      </c>
      <c r="D464" s="8" t="s">
        <v>2918</v>
      </c>
      <c r="E464" s="8" t="s">
        <v>2913</v>
      </c>
      <c r="F464" s="8" t="s">
        <v>2914</v>
      </c>
      <c r="G464" s="6" t="s">
        <v>37</v>
      </c>
      <c r="H464" s="6" t="s">
        <v>38</v>
      </c>
      <c r="I464" s="8" t="s">
        <v>75</v>
      </c>
      <c r="J464" s="9">
        <v>1</v>
      </c>
      <c r="K464" s="9">
        <v>236</v>
      </c>
      <c r="L464" s="9">
        <v>2024</v>
      </c>
      <c r="M464" s="8" t="s">
        <v>2919</v>
      </c>
      <c r="N464" s="8" t="s">
        <v>41</v>
      </c>
      <c r="O464" s="8" t="s">
        <v>42</v>
      </c>
      <c r="P464" s="6" t="s">
        <v>150</v>
      </c>
      <c r="Q464" s="8" t="s">
        <v>78</v>
      </c>
      <c r="R464" s="10" t="s">
        <v>2183</v>
      </c>
      <c r="S464" s="11" t="s">
        <v>2920</v>
      </c>
      <c r="T464" s="6"/>
      <c r="U464" s="27" t="str">
        <f>HYPERLINK("https://media.infra-m.ru/2089/2089371/cover/2089371.jpg", "Обложка")</f>
        <v>Обложка</v>
      </c>
      <c r="V464" s="27" t="str">
        <f>HYPERLINK("https://znanium.com/catalog/product/2089371", "Ознакомиться")</f>
        <v>Ознакомиться</v>
      </c>
      <c r="W464" s="8" t="s">
        <v>116</v>
      </c>
      <c r="X464" s="6"/>
      <c r="Y464" s="6" t="s">
        <v>30</v>
      </c>
      <c r="Z464" s="6" t="s">
        <v>82</v>
      </c>
      <c r="AA464" s="6" t="s">
        <v>136</v>
      </c>
    </row>
    <row r="465" spans="1:27" s="4" customFormat="1" ht="51.95" customHeight="1">
      <c r="A465" s="5">
        <v>0</v>
      </c>
      <c r="B465" s="6" t="s">
        <v>2921</v>
      </c>
      <c r="C465" s="7">
        <v>2110</v>
      </c>
      <c r="D465" s="8" t="s">
        <v>2922</v>
      </c>
      <c r="E465" s="8" t="s">
        <v>2923</v>
      </c>
      <c r="F465" s="8" t="s">
        <v>2924</v>
      </c>
      <c r="G465" s="6" t="s">
        <v>165</v>
      </c>
      <c r="H465" s="6" t="s">
        <v>38</v>
      </c>
      <c r="I465" s="8" t="s">
        <v>183</v>
      </c>
      <c r="J465" s="9">
        <v>1</v>
      </c>
      <c r="K465" s="9">
        <v>483</v>
      </c>
      <c r="L465" s="9">
        <v>2023</v>
      </c>
      <c r="M465" s="8" t="s">
        <v>2925</v>
      </c>
      <c r="N465" s="8" t="s">
        <v>41</v>
      </c>
      <c r="O465" s="8" t="s">
        <v>42</v>
      </c>
      <c r="P465" s="6" t="s">
        <v>150</v>
      </c>
      <c r="Q465" s="8" t="s">
        <v>316</v>
      </c>
      <c r="R465" s="10" t="s">
        <v>186</v>
      </c>
      <c r="S465" s="11" t="s">
        <v>2926</v>
      </c>
      <c r="T465" s="6"/>
      <c r="U465" s="27" t="str">
        <f>HYPERLINK("https://media.infra-m.ru/2038/2038339/cover/2038339.jpg", "Обложка")</f>
        <v>Обложка</v>
      </c>
      <c r="V465" s="27" t="str">
        <f>HYPERLINK("https://znanium.com/catalog/product/1912092", "Ознакомиться")</f>
        <v>Ознакомиться</v>
      </c>
      <c r="W465" s="8" t="s">
        <v>638</v>
      </c>
      <c r="X465" s="6"/>
      <c r="Y465" s="6"/>
      <c r="Z465" s="6"/>
      <c r="AA465" s="6" t="s">
        <v>136</v>
      </c>
    </row>
    <row r="466" spans="1:27" s="4" customFormat="1" ht="42" customHeight="1">
      <c r="A466" s="5">
        <v>0</v>
      </c>
      <c r="B466" s="6" t="s">
        <v>2927</v>
      </c>
      <c r="C466" s="7">
        <v>1130</v>
      </c>
      <c r="D466" s="8" t="s">
        <v>2928</v>
      </c>
      <c r="E466" s="8" t="s">
        <v>2929</v>
      </c>
      <c r="F466" s="8" t="s">
        <v>2930</v>
      </c>
      <c r="G466" s="6" t="s">
        <v>165</v>
      </c>
      <c r="H466" s="6" t="s">
        <v>38</v>
      </c>
      <c r="I466" s="8" t="s">
        <v>75</v>
      </c>
      <c r="J466" s="9">
        <v>1</v>
      </c>
      <c r="K466" s="9">
        <v>242</v>
      </c>
      <c r="L466" s="9">
        <v>2024</v>
      </c>
      <c r="M466" s="8" t="s">
        <v>2931</v>
      </c>
      <c r="N466" s="8" t="s">
        <v>41</v>
      </c>
      <c r="O466" s="8" t="s">
        <v>42</v>
      </c>
      <c r="P466" s="6" t="s">
        <v>77</v>
      </c>
      <c r="Q466" s="8" t="s">
        <v>78</v>
      </c>
      <c r="R466" s="10" t="s">
        <v>2932</v>
      </c>
      <c r="S466" s="11"/>
      <c r="T466" s="6"/>
      <c r="U466" s="27" t="str">
        <f>HYPERLINK("https://media.infra-m.ru/1896/1896112/cover/1896112.jpg", "Обложка")</f>
        <v>Обложка</v>
      </c>
      <c r="V466" s="27" t="str">
        <f>HYPERLINK("https://znanium.com/catalog/product/1896112", "Ознакомиться")</f>
        <v>Ознакомиться</v>
      </c>
      <c r="W466" s="8" t="s">
        <v>2506</v>
      </c>
      <c r="X466" s="6" t="s">
        <v>468</v>
      </c>
      <c r="Y466" s="6"/>
      <c r="Z466" s="6"/>
      <c r="AA466" s="6" t="s">
        <v>270</v>
      </c>
    </row>
    <row r="467" spans="1:27" s="4" customFormat="1" ht="42" customHeight="1">
      <c r="A467" s="5">
        <v>0</v>
      </c>
      <c r="B467" s="6" t="s">
        <v>2933</v>
      </c>
      <c r="C467" s="13">
        <v>790</v>
      </c>
      <c r="D467" s="8" t="s">
        <v>2934</v>
      </c>
      <c r="E467" s="8" t="s">
        <v>2935</v>
      </c>
      <c r="F467" s="8" t="s">
        <v>2936</v>
      </c>
      <c r="G467" s="6" t="s">
        <v>37</v>
      </c>
      <c r="H467" s="6" t="s">
        <v>608</v>
      </c>
      <c r="I467" s="8" t="s">
        <v>183</v>
      </c>
      <c r="J467" s="9">
        <v>1</v>
      </c>
      <c r="K467" s="9">
        <v>166</v>
      </c>
      <c r="L467" s="9">
        <v>2024</v>
      </c>
      <c r="M467" s="8" t="s">
        <v>2937</v>
      </c>
      <c r="N467" s="8" t="s">
        <v>41</v>
      </c>
      <c r="O467" s="8" t="s">
        <v>42</v>
      </c>
      <c r="P467" s="6" t="s">
        <v>77</v>
      </c>
      <c r="Q467" s="8" t="s">
        <v>316</v>
      </c>
      <c r="R467" s="10" t="s">
        <v>2938</v>
      </c>
      <c r="S467" s="11"/>
      <c r="T467" s="6"/>
      <c r="U467" s="27" t="str">
        <f>HYPERLINK("https://media.infra-m.ru/2085/2085937/cover/2085937.jpg", "Обложка")</f>
        <v>Обложка</v>
      </c>
      <c r="V467" s="12"/>
      <c r="W467" s="8" t="s">
        <v>2939</v>
      </c>
      <c r="X467" s="6"/>
      <c r="Y467" s="6"/>
      <c r="Z467" s="6"/>
      <c r="AA467" s="6" t="s">
        <v>270</v>
      </c>
    </row>
    <row r="468" spans="1:27" s="4" customFormat="1" ht="42" customHeight="1">
      <c r="A468" s="5">
        <v>0</v>
      </c>
      <c r="B468" s="6" t="s">
        <v>2940</v>
      </c>
      <c r="C468" s="13">
        <v>914</v>
      </c>
      <c r="D468" s="8" t="s">
        <v>2941</v>
      </c>
      <c r="E468" s="8" t="s">
        <v>2942</v>
      </c>
      <c r="F468" s="8" t="s">
        <v>2943</v>
      </c>
      <c r="G468" s="6" t="s">
        <v>37</v>
      </c>
      <c r="H468" s="6" t="s">
        <v>2944</v>
      </c>
      <c r="I468" s="8"/>
      <c r="J468" s="9">
        <v>1</v>
      </c>
      <c r="K468" s="9">
        <v>198</v>
      </c>
      <c r="L468" s="9">
        <v>2023</v>
      </c>
      <c r="M468" s="8" t="s">
        <v>2945</v>
      </c>
      <c r="N468" s="8" t="s">
        <v>41</v>
      </c>
      <c r="O468" s="8" t="s">
        <v>42</v>
      </c>
      <c r="P468" s="6" t="s">
        <v>77</v>
      </c>
      <c r="Q468" s="8" t="s">
        <v>89</v>
      </c>
      <c r="R468" s="10" t="s">
        <v>2946</v>
      </c>
      <c r="S468" s="11"/>
      <c r="T468" s="6"/>
      <c r="U468" s="27" t="str">
        <f>HYPERLINK("https://media.infra-m.ru/1972/1972663/cover/1972663.jpg", "Обложка")</f>
        <v>Обложка</v>
      </c>
      <c r="V468" s="27" t="str">
        <f>HYPERLINK("https://znanium.com/catalog/product/1943514", "Ознакомиться")</f>
        <v>Ознакомиться</v>
      </c>
      <c r="W468" s="8" t="s">
        <v>917</v>
      </c>
      <c r="X468" s="6"/>
      <c r="Y468" s="6"/>
      <c r="Z468" s="6"/>
      <c r="AA468" s="6" t="s">
        <v>2240</v>
      </c>
    </row>
    <row r="469" spans="1:27" s="4" customFormat="1" ht="42" customHeight="1">
      <c r="A469" s="5">
        <v>0</v>
      </c>
      <c r="B469" s="6" t="s">
        <v>2947</v>
      </c>
      <c r="C469" s="7">
        <v>1230</v>
      </c>
      <c r="D469" s="8" t="s">
        <v>2948</v>
      </c>
      <c r="E469" s="8" t="s">
        <v>2949</v>
      </c>
      <c r="F469" s="8" t="s">
        <v>2950</v>
      </c>
      <c r="G469" s="6" t="s">
        <v>53</v>
      </c>
      <c r="H469" s="6" t="s">
        <v>38</v>
      </c>
      <c r="I469" s="8" t="s">
        <v>54</v>
      </c>
      <c r="J469" s="9">
        <v>1</v>
      </c>
      <c r="K469" s="9">
        <v>273</v>
      </c>
      <c r="L469" s="9">
        <v>2021</v>
      </c>
      <c r="M469" s="8" t="s">
        <v>2951</v>
      </c>
      <c r="N469" s="8" t="s">
        <v>41</v>
      </c>
      <c r="O469" s="8" t="s">
        <v>42</v>
      </c>
      <c r="P469" s="6" t="s">
        <v>58</v>
      </c>
      <c r="Q469" s="8" t="s">
        <v>44</v>
      </c>
      <c r="R469" s="10" t="s">
        <v>378</v>
      </c>
      <c r="S469" s="11"/>
      <c r="T469" s="6"/>
      <c r="U469" s="27" t="str">
        <f>HYPERLINK("https://media.infra-m.ru/1947/1947401/cover/1947401.jpg", "Обложка")</f>
        <v>Обложка</v>
      </c>
      <c r="V469" s="27" t="str">
        <f>HYPERLINK("https://znanium.com/catalog/product/1098272", "Ознакомиться")</f>
        <v>Ознакомиться</v>
      </c>
      <c r="W469" s="8" t="s">
        <v>454</v>
      </c>
      <c r="X469" s="6"/>
      <c r="Y469" s="6"/>
      <c r="Z469" s="6"/>
      <c r="AA469" s="6" t="s">
        <v>128</v>
      </c>
    </row>
    <row r="470" spans="1:27" s="4" customFormat="1" ht="44.1" customHeight="1">
      <c r="A470" s="5">
        <v>0</v>
      </c>
      <c r="B470" s="6" t="s">
        <v>2952</v>
      </c>
      <c r="C470" s="13">
        <v>664</v>
      </c>
      <c r="D470" s="8" t="s">
        <v>2953</v>
      </c>
      <c r="E470" s="8" t="s">
        <v>2954</v>
      </c>
      <c r="F470" s="8" t="s">
        <v>532</v>
      </c>
      <c r="G470" s="6" t="s">
        <v>53</v>
      </c>
      <c r="H470" s="6" t="s">
        <v>38</v>
      </c>
      <c r="I470" s="8" t="s">
        <v>54</v>
      </c>
      <c r="J470" s="9">
        <v>1</v>
      </c>
      <c r="K470" s="9">
        <v>145</v>
      </c>
      <c r="L470" s="9">
        <v>2023</v>
      </c>
      <c r="M470" s="8" t="s">
        <v>2955</v>
      </c>
      <c r="N470" s="8" t="s">
        <v>41</v>
      </c>
      <c r="O470" s="8" t="s">
        <v>42</v>
      </c>
      <c r="P470" s="6" t="s">
        <v>58</v>
      </c>
      <c r="Q470" s="8" t="s">
        <v>44</v>
      </c>
      <c r="R470" s="10" t="s">
        <v>2956</v>
      </c>
      <c r="S470" s="11"/>
      <c r="T470" s="6"/>
      <c r="U470" s="27" t="str">
        <f>HYPERLINK("https://media.infra-m.ru/2080/2080758/cover/2080758.jpg", "Обложка")</f>
        <v>Обложка</v>
      </c>
      <c r="V470" s="27" t="str">
        <f>HYPERLINK("https://znanium.com/catalog/product/1931492", "Ознакомиться")</f>
        <v>Ознакомиться</v>
      </c>
      <c r="W470" s="8" t="s">
        <v>535</v>
      </c>
      <c r="X470" s="6"/>
      <c r="Y470" s="6"/>
      <c r="Z470" s="6"/>
      <c r="AA470" s="6" t="s">
        <v>302</v>
      </c>
    </row>
    <row r="471" spans="1:27" s="4" customFormat="1" ht="51.95" customHeight="1">
      <c r="A471" s="5">
        <v>0</v>
      </c>
      <c r="B471" s="6" t="s">
        <v>2957</v>
      </c>
      <c r="C471" s="13">
        <v>920</v>
      </c>
      <c r="D471" s="8" t="s">
        <v>2958</v>
      </c>
      <c r="E471" s="8" t="s">
        <v>2959</v>
      </c>
      <c r="F471" s="8" t="s">
        <v>2930</v>
      </c>
      <c r="G471" s="6" t="s">
        <v>165</v>
      </c>
      <c r="H471" s="6" t="s">
        <v>38</v>
      </c>
      <c r="I471" s="8" t="s">
        <v>173</v>
      </c>
      <c r="J471" s="9">
        <v>1</v>
      </c>
      <c r="K471" s="9">
        <v>240</v>
      </c>
      <c r="L471" s="9">
        <v>2022</v>
      </c>
      <c r="M471" s="8" t="s">
        <v>2960</v>
      </c>
      <c r="N471" s="8" t="s">
        <v>41</v>
      </c>
      <c r="O471" s="8" t="s">
        <v>42</v>
      </c>
      <c r="P471" s="6" t="s">
        <v>77</v>
      </c>
      <c r="Q471" s="8" t="s">
        <v>89</v>
      </c>
      <c r="R471" s="10" t="s">
        <v>2932</v>
      </c>
      <c r="S471" s="11" t="s">
        <v>2961</v>
      </c>
      <c r="T471" s="6"/>
      <c r="U471" s="27" t="str">
        <f>HYPERLINK("https://media.infra-m.ru/1439/1439628/cover/1439628.jpg", "Обложка")</f>
        <v>Обложка</v>
      </c>
      <c r="V471" s="27" t="str">
        <f>HYPERLINK("https://znanium.com/catalog/product/1439628", "Ознакомиться")</f>
        <v>Ознакомиться</v>
      </c>
      <c r="W471" s="8" t="s">
        <v>2506</v>
      </c>
      <c r="X471" s="6"/>
      <c r="Y471" s="6"/>
      <c r="Z471" s="6"/>
      <c r="AA471" s="6" t="s">
        <v>178</v>
      </c>
    </row>
    <row r="472" spans="1:27" s="4" customFormat="1" ht="51.95" customHeight="1">
      <c r="A472" s="5">
        <v>0</v>
      </c>
      <c r="B472" s="6" t="s">
        <v>2962</v>
      </c>
      <c r="C472" s="13">
        <v>864</v>
      </c>
      <c r="D472" s="8" t="s">
        <v>2963</v>
      </c>
      <c r="E472" s="8" t="s">
        <v>2964</v>
      </c>
      <c r="F472" s="8" t="s">
        <v>2965</v>
      </c>
      <c r="G472" s="6" t="s">
        <v>165</v>
      </c>
      <c r="H472" s="6" t="s">
        <v>38</v>
      </c>
      <c r="I472" s="8" t="s">
        <v>173</v>
      </c>
      <c r="J472" s="9">
        <v>1</v>
      </c>
      <c r="K472" s="9">
        <v>192</v>
      </c>
      <c r="L472" s="9">
        <v>2023</v>
      </c>
      <c r="M472" s="8" t="s">
        <v>2966</v>
      </c>
      <c r="N472" s="8" t="s">
        <v>56</v>
      </c>
      <c r="O472" s="8" t="s">
        <v>57</v>
      </c>
      <c r="P472" s="6" t="s">
        <v>77</v>
      </c>
      <c r="Q472" s="8" t="s">
        <v>89</v>
      </c>
      <c r="R472" s="10" t="s">
        <v>2967</v>
      </c>
      <c r="S472" s="11" t="s">
        <v>2968</v>
      </c>
      <c r="T472" s="6"/>
      <c r="U472" s="27" t="str">
        <f>HYPERLINK("https://media.infra-m.ru/1902/1902916/cover/1902916.jpg", "Обложка")</f>
        <v>Обложка</v>
      </c>
      <c r="V472" s="27" t="str">
        <f>HYPERLINK("https://znanium.com/catalog/product/1497870", "Ознакомиться")</f>
        <v>Ознакомиться</v>
      </c>
      <c r="W472" s="8" t="s">
        <v>60</v>
      </c>
      <c r="X472" s="6"/>
      <c r="Y472" s="6"/>
      <c r="Z472" s="6"/>
      <c r="AA472" s="6" t="s">
        <v>622</v>
      </c>
    </row>
    <row r="473" spans="1:27" s="4" customFormat="1" ht="51.95" customHeight="1">
      <c r="A473" s="5">
        <v>0</v>
      </c>
      <c r="B473" s="6" t="s">
        <v>2969</v>
      </c>
      <c r="C473" s="7">
        <v>1400</v>
      </c>
      <c r="D473" s="8" t="s">
        <v>2970</v>
      </c>
      <c r="E473" s="8" t="s">
        <v>2971</v>
      </c>
      <c r="F473" s="8" t="s">
        <v>2972</v>
      </c>
      <c r="G473" s="6" t="s">
        <v>37</v>
      </c>
      <c r="H473" s="6" t="s">
        <v>38</v>
      </c>
      <c r="I473" s="8" t="s">
        <v>183</v>
      </c>
      <c r="J473" s="9">
        <v>1</v>
      </c>
      <c r="K473" s="9">
        <v>299</v>
      </c>
      <c r="L473" s="9">
        <v>2024</v>
      </c>
      <c r="M473" s="8" t="s">
        <v>2973</v>
      </c>
      <c r="N473" s="8" t="s">
        <v>41</v>
      </c>
      <c r="O473" s="8" t="s">
        <v>42</v>
      </c>
      <c r="P473" s="6" t="s">
        <v>150</v>
      </c>
      <c r="Q473" s="8" t="s">
        <v>89</v>
      </c>
      <c r="R473" s="10" t="s">
        <v>1756</v>
      </c>
      <c r="S473" s="11" t="s">
        <v>1147</v>
      </c>
      <c r="T473" s="6" t="s">
        <v>46</v>
      </c>
      <c r="U473" s="27" t="str">
        <f>HYPERLINK("https://media.infra-m.ru/2116/2116863/cover/2116863.jpg", "Обложка")</f>
        <v>Обложка</v>
      </c>
      <c r="V473" s="27" t="str">
        <f>HYPERLINK("https://znanium.com/catalog/product/2116863", "Ознакомиться")</f>
        <v>Ознакомиться</v>
      </c>
      <c r="W473" s="8" t="s">
        <v>116</v>
      </c>
      <c r="X473" s="6"/>
      <c r="Y473" s="6"/>
      <c r="Z473" s="6"/>
      <c r="AA473" s="6" t="s">
        <v>109</v>
      </c>
    </row>
    <row r="474" spans="1:27" s="4" customFormat="1" ht="51.95" customHeight="1">
      <c r="A474" s="5">
        <v>0</v>
      </c>
      <c r="B474" s="6" t="s">
        <v>2974</v>
      </c>
      <c r="C474" s="13">
        <v>760</v>
      </c>
      <c r="D474" s="8" t="s">
        <v>2975</v>
      </c>
      <c r="E474" s="8" t="s">
        <v>2976</v>
      </c>
      <c r="F474" s="8" t="s">
        <v>193</v>
      </c>
      <c r="G474" s="6" t="s">
        <v>165</v>
      </c>
      <c r="H474" s="6" t="s">
        <v>38</v>
      </c>
      <c r="I474" s="8" t="s">
        <v>173</v>
      </c>
      <c r="J474" s="9">
        <v>1</v>
      </c>
      <c r="K474" s="9">
        <v>195</v>
      </c>
      <c r="L474" s="9">
        <v>2022</v>
      </c>
      <c r="M474" s="8" t="s">
        <v>2977</v>
      </c>
      <c r="N474" s="8" t="s">
        <v>41</v>
      </c>
      <c r="O474" s="8" t="s">
        <v>42</v>
      </c>
      <c r="P474" s="6" t="s">
        <v>77</v>
      </c>
      <c r="Q474" s="8" t="s">
        <v>89</v>
      </c>
      <c r="R474" s="10" t="s">
        <v>766</v>
      </c>
      <c r="S474" s="11" t="s">
        <v>2978</v>
      </c>
      <c r="T474" s="6"/>
      <c r="U474" s="27" t="str">
        <f>HYPERLINK("https://media.infra-m.ru/1077/1077726/cover/1077726.jpg", "Обложка")</f>
        <v>Обложка</v>
      </c>
      <c r="V474" s="27" t="str">
        <f>HYPERLINK("https://znanium.com/catalog/product/1077726", "Ознакомиться")</f>
        <v>Ознакомиться</v>
      </c>
      <c r="W474" s="8" t="s">
        <v>188</v>
      </c>
      <c r="X474" s="6"/>
      <c r="Y474" s="6"/>
      <c r="Z474" s="6"/>
      <c r="AA474" s="6" t="s">
        <v>178</v>
      </c>
    </row>
    <row r="475" spans="1:27" s="4" customFormat="1" ht="51.95" customHeight="1">
      <c r="A475" s="5">
        <v>0</v>
      </c>
      <c r="B475" s="6" t="s">
        <v>2979</v>
      </c>
      <c r="C475" s="7">
        <v>1090</v>
      </c>
      <c r="D475" s="8" t="s">
        <v>2980</v>
      </c>
      <c r="E475" s="8" t="s">
        <v>2981</v>
      </c>
      <c r="F475" s="8" t="s">
        <v>2982</v>
      </c>
      <c r="G475" s="6" t="s">
        <v>165</v>
      </c>
      <c r="H475" s="6" t="s">
        <v>38</v>
      </c>
      <c r="I475" s="8" t="s">
        <v>173</v>
      </c>
      <c r="J475" s="9">
        <v>1</v>
      </c>
      <c r="K475" s="9">
        <v>231</v>
      </c>
      <c r="L475" s="9">
        <v>2023</v>
      </c>
      <c r="M475" s="8" t="s">
        <v>2983</v>
      </c>
      <c r="N475" s="8" t="s">
        <v>41</v>
      </c>
      <c r="O475" s="8" t="s">
        <v>42</v>
      </c>
      <c r="P475" s="6" t="s">
        <v>77</v>
      </c>
      <c r="Q475" s="8" t="s">
        <v>89</v>
      </c>
      <c r="R475" s="10" t="s">
        <v>1136</v>
      </c>
      <c r="S475" s="11" t="s">
        <v>2984</v>
      </c>
      <c r="T475" s="6"/>
      <c r="U475" s="27" t="str">
        <f>HYPERLINK("https://media.infra-m.ru/1171/1171998/cover/1171998.jpg", "Обложка")</f>
        <v>Обложка</v>
      </c>
      <c r="V475" s="27" t="str">
        <f>HYPERLINK("https://znanium.com/catalog/product/1171998", "Ознакомиться")</f>
        <v>Ознакомиться</v>
      </c>
      <c r="W475" s="8" t="s">
        <v>2985</v>
      </c>
      <c r="X475" s="6"/>
      <c r="Y475" s="6"/>
      <c r="Z475" s="6"/>
      <c r="AA475" s="6" t="s">
        <v>61</v>
      </c>
    </row>
    <row r="476" spans="1:27" s="4" customFormat="1" ht="42" customHeight="1">
      <c r="A476" s="5">
        <v>0</v>
      </c>
      <c r="B476" s="6" t="s">
        <v>2986</v>
      </c>
      <c r="C476" s="13">
        <v>810</v>
      </c>
      <c r="D476" s="8" t="s">
        <v>2987</v>
      </c>
      <c r="E476" s="8" t="s">
        <v>2988</v>
      </c>
      <c r="F476" s="8" t="s">
        <v>532</v>
      </c>
      <c r="G476" s="6" t="s">
        <v>53</v>
      </c>
      <c r="H476" s="6" t="s">
        <v>38</v>
      </c>
      <c r="I476" s="8" t="s">
        <v>39</v>
      </c>
      <c r="J476" s="9">
        <v>1</v>
      </c>
      <c r="K476" s="9">
        <v>176</v>
      </c>
      <c r="L476" s="9">
        <v>2024</v>
      </c>
      <c r="M476" s="8" t="s">
        <v>2989</v>
      </c>
      <c r="N476" s="8" t="s">
        <v>41</v>
      </c>
      <c r="O476" s="8" t="s">
        <v>42</v>
      </c>
      <c r="P476" s="6" t="s">
        <v>584</v>
      </c>
      <c r="Q476" s="8" t="s">
        <v>44</v>
      </c>
      <c r="R476" s="10" t="s">
        <v>2990</v>
      </c>
      <c r="S476" s="11"/>
      <c r="T476" s="6"/>
      <c r="U476" s="27" t="str">
        <f>HYPERLINK("https://media.infra-m.ru/2083/2083431/cover/2083431.jpg", "Обложка")</f>
        <v>Обложка</v>
      </c>
      <c r="V476" s="27" t="str">
        <f>HYPERLINK("https://znanium.com/catalog/product/2083431", "Ознакомиться")</f>
        <v>Ознакомиться</v>
      </c>
      <c r="W476" s="8" t="s">
        <v>535</v>
      </c>
      <c r="X476" s="6"/>
      <c r="Y476" s="6"/>
      <c r="Z476" s="6"/>
      <c r="AA476" s="6" t="s">
        <v>117</v>
      </c>
    </row>
    <row r="477" spans="1:27" s="4" customFormat="1" ht="51.95" customHeight="1">
      <c r="A477" s="5">
        <v>0</v>
      </c>
      <c r="B477" s="6" t="s">
        <v>2991</v>
      </c>
      <c r="C477" s="7">
        <v>1290</v>
      </c>
      <c r="D477" s="8" t="s">
        <v>2992</v>
      </c>
      <c r="E477" s="8" t="s">
        <v>2993</v>
      </c>
      <c r="F477" s="8" t="s">
        <v>2994</v>
      </c>
      <c r="G477" s="6" t="s">
        <v>37</v>
      </c>
      <c r="H477" s="6" t="s">
        <v>38</v>
      </c>
      <c r="I477" s="8" t="s">
        <v>75</v>
      </c>
      <c r="J477" s="9">
        <v>1</v>
      </c>
      <c r="K477" s="9">
        <v>281</v>
      </c>
      <c r="L477" s="9">
        <v>2023</v>
      </c>
      <c r="M477" s="8" t="s">
        <v>2995</v>
      </c>
      <c r="N477" s="8" t="s">
        <v>41</v>
      </c>
      <c r="O477" s="8" t="s">
        <v>42</v>
      </c>
      <c r="P477" s="6" t="s">
        <v>150</v>
      </c>
      <c r="Q477" s="8" t="s">
        <v>78</v>
      </c>
      <c r="R477" s="10" t="s">
        <v>276</v>
      </c>
      <c r="S477" s="11" t="s">
        <v>2996</v>
      </c>
      <c r="T477" s="6"/>
      <c r="U477" s="27" t="str">
        <f>HYPERLINK("https://media.infra-m.ru/1018/1018059/cover/1018059.jpg", "Обложка")</f>
        <v>Обложка</v>
      </c>
      <c r="V477" s="27" t="str">
        <f>HYPERLINK("https://znanium.com/catalog/product/1018059", "Ознакомиться")</f>
        <v>Ознакомиться</v>
      </c>
      <c r="W477" s="8" t="s">
        <v>638</v>
      </c>
      <c r="X477" s="6" t="s">
        <v>510</v>
      </c>
      <c r="Y477" s="6"/>
      <c r="Z477" s="6" t="s">
        <v>82</v>
      </c>
      <c r="AA477" s="6" t="s">
        <v>2997</v>
      </c>
    </row>
    <row r="478" spans="1:27" s="4" customFormat="1" ht="51.95" customHeight="1">
      <c r="A478" s="5">
        <v>0</v>
      </c>
      <c r="B478" s="6" t="s">
        <v>2998</v>
      </c>
      <c r="C478" s="7">
        <v>1264</v>
      </c>
      <c r="D478" s="8" t="s">
        <v>2999</v>
      </c>
      <c r="E478" s="8" t="s">
        <v>2993</v>
      </c>
      <c r="F478" s="8" t="s">
        <v>2994</v>
      </c>
      <c r="G478" s="6" t="s">
        <v>37</v>
      </c>
      <c r="H478" s="6" t="s">
        <v>38</v>
      </c>
      <c r="I478" s="8" t="s">
        <v>173</v>
      </c>
      <c r="J478" s="9">
        <v>1</v>
      </c>
      <c r="K478" s="9">
        <v>281</v>
      </c>
      <c r="L478" s="9">
        <v>2023</v>
      </c>
      <c r="M478" s="8" t="s">
        <v>3000</v>
      </c>
      <c r="N478" s="8" t="s">
        <v>41</v>
      </c>
      <c r="O478" s="8" t="s">
        <v>42</v>
      </c>
      <c r="P478" s="6" t="s">
        <v>150</v>
      </c>
      <c r="Q478" s="8" t="s">
        <v>89</v>
      </c>
      <c r="R478" s="10" t="s">
        <v>3001</v>
      </c>
      <c r="S478" s="11" t="s">
        <v>3002</v>
      </c>
      <c r="T478" s="6"/>
      <c r="U478" s="27" t="str">
        <f>HYPERLINK("https://media.infra-m.ru/2001/2001674/cover/2001674.jpg", "Обложка")</f>
        <v>Обложка</v>
      </c>
      <c r="V478" s="27" t="str">
        <f>HYPERLINK("https://znanium.com/catalog/product/1549473", "Ознакомиться")</f>
        <v>Ознакомиться</v>
      </c>
      <c r="W478" s="8" t="s">
        <v>638</v>
      </c>
      <c r="X478" s="6"/>
      <c r="Y478" s="6"/>
      <c r="Z478" s="6"/>
      <c r="AA478" s="6" t="s">
        <v>117</v>
      </c>
    </row>
    <row r="479" spans="1:27" s="4" customFormat="1" ht="42" customHeight="1">
      <c r="A479" s="5">
        <v>0</v>
      </c>
      <c r="B479" s="6" t="s">
        <v>3003</v>
      </c>
      <c r="C479" s="13">
        <v>770</v>
      </c>
      <c r="D479" s="8" t="s">
        <v>3004</v>
      </c>
      <c r="E479" s="8" t="s">
        <v>3005</v>
      </c>
      <c r="F479" s="8" t="s">
        <v>3006</v>
      </c>
      <c r="G479" s="6" t="s">
        <v>165</v>
      </c>
      <c r="H479" s="6" t="s">
        <v>38</v>
      </c>
      <c r="I479" s="8" t="s">
        <v>183</v>
      </c>
      <c r="J479" s="9">
        <v>1</v>
      </c>
      <c r="K479" s="9">
        <v>160</v>
      </c>
      <c r="L479" s="9">
        <v>2023</v>
      </c>
      <c r="M479" s="8" t="s">
        <v>3007</v>
      </c>
      <c r="N479" s="8" t="s">
        <v>41</v>
      </c>
      <c r="O479" s="8" t="s">
        <v>42</v>
      </c>
      <c r="P479" s="6" t="s">
        <v>77</v>
      </c>
      <c r="Q479" s="8" t="s">
        <v>89</v>
      </c>
      <c r="R479" s="10" t="s">
        <v>442</v>
      </c>
      <c r="S479" s="11"/>
      <c r="T479" s="6"/>
      <c r="U479" s="27" t="str">
        <f>HYPERLINK("https://media.infra-m.ru/1900/1900547/cover/1900547.jpg", "Обложка")</f>
        <v>Обложка</v>
      </c>
      <c r="V479" s="27" t="str">
        <f>HYPERLINK("https://znanium.com/catalog/product/1900547", "Ознакомиться")</f>
        <v>Ознакомиться</v>
      </c>
      <c r="W479" s="8" t="s">
        <v>116</v>
      </c>
      <c r="X479" s="6" t="s">
        <v>1670</v>
      </c>
      <c r="Y479" s="6"/>
      <c r="Z479" s="6"/>
      <c r="AA479" s="6" t="s">
        <v>61</v>
      </c>
    </row>
    <row r="480" spans="1:27" s="4" customFormat="1" ht="51.95" customHeight="1">
      <c r="A480" s="5">
        <v>0</v>
      </c>
      <c r="B480" s="6" t="s">
        <v>3008</v>
      </c>
      <c r="C480" s="13">
        <v>590</v>
      </c>
      <c r="D480" s="8" t="s">
        <v>3009</v>
      </c>
      <c r="E480" s="8" t="s">
        <v>3010</v>
      </c>
      <c r="F480" s="8" t="s">
        <v>1403</v>
      </c>
      <c r="G480" s="6" t="s">
        <v>53</v>
      </c>
      <c r="H480" s="6" t="s">
        <v>38</v>
      </c>
      <c r="I480" s="8" t="s">
        <v>39</v>
      </c>
      <c r="J480" s="9">
        <v>1</v>
      </c>
      <c r="K480" s="9">
        <v>103</v>
      </c>
      <c r="L480" s="9">
        <v>2024</v>
      </c>
      <c r="M480" s="8" t="s">
        <v>3011</v>
      </c>
      <c r="N480" s="8" t="s">
        <v>41</v>
      </c>
      <c r="O480" s="8" t="s">
        <v>42</v>
      </c>
      <c r="P480" s="6" t="s">
        <v>43</v>
      </c>
      <c r="Q480" s="8" t="s">
        <v>89</v>
      </c>
      <c r="R480" s="10" t="s">
        <v>3012</v>
      </c>
      <c r="S480" s="11" t="s">
        <v>3013</v>
      </c>
      <c r="T480" s="6" t="s">
        <v>46</v>
      </c>
      <c r="U480" s="27" t="str">
        <f>HYPERLINK("https://media.infra-m.ru/2084/2084498/cover/2084498.jpg", "Обложка")</f>
        <v>Обложка</v>
      </c>
      <c r="V480" s="27" t="str">
        <f>HYPERLINK("https://znanium.com/catalog/product/2084498", "Ознакомиться")</f>
        <v>Ознакомиться</v>
      </c>
      <c r="W480" s="8" t="s">
        <v>638</v>
      </c>
      <c r="X480" s="6"/>
      <c r="Y480" s="6"/>
      <c r="Z480" s="6"/>
      <c r="AA480" s="6" t="s">
        <v>48</v>
      </c>
    </row>
    <row r="481" spans="1:27" s="4" customFormat="1" ht="51.95" customHeight="1">
      <c r="A481" s="5">
        <v>0</v>
      </c>
      <c r="B481" s="6" t="s">
        <v>3014</v>
      </c>
      <c r="C481" s="7">
        <v>1160</v>
      </c>
      <c r="D481" s="8" t="s">
        <v>3015</v>
      </c>
      <c r="E481" s="8" t="s">
        <v>3016</v>
      </c>
      <c r="F481" s="8" t="s">
        <v>1831</v>
      </c>
      <c r="G481" s="6" t="s">
        <v>37</v>
      </c>
      <c r="H481" s="6" t="s">
        <v>38</v>
      </c>
      <c r="I481" s="8" t="s">
        <v>839</v>
      </c>
      <c r="J481" s="9">
        <v>1</v>
      </c>
      <c r="K481" s="9">
        <v>239</v>
      </c>
      <c r="L481" s="9">
        <v>2024</v>
      </c>
      <c r="M481" s="8" t="s">
        <v>3017</v>
      </c>
      <c r="N481" s="8" t="s">
        <v>41</v>
      </c>
      <c r="O481" s="8" t="s">
        <v>42</v>
      </c>
      <c r="P481" s="6" t="s">
        <v>185</v>
      </c>
      <c r="Q481" s="8" t="s">
        <v>151</v>
      </c>
      <c r="R481" s="10" t="s">
        <v>3018</v>
      </c>
      <c r="S481" s="11" t="s">
        <v>3019</v>
      </c>
      <c r="T481" s="6"/>
      <c r="U481" s="27" t="str">
        <f>HYPERLINK("https://media.infra-m.ru/2089/2089370/cover/2089370.jpg", "Обложка")</f>
        <v>Обложка</v>
      </c>
      <c r="V481" s="27" t="str">
        <f>HYPERLINK("https://znanium.com/catalog/product/2089370", "Ознакомиться")</f>
        <v>Ознакомиться</v>
      </c>
      <c r="W481" s="8"/>
      <c r="X481" s="6"/>
      <c r="Y481" s="6"/>
      <c r="Z481" s="6"/>
      <c r="AA481" s="6" t="s">
        <v>128</v>
      </c>
    </row>
    <row r="482" spans="1:27" s="4" customFormat="1" ht="42" customHeight="1">
      <c r="A482" s="5">
        <v>0</v>
      </c>
      <c r="B482" s="6" t="s">
        <v>3020</v>
      </c>
      <c r="C482" s="13">
        <v>840</v>
      </c>
      <c r="D482" s="8" t="s">
        <v>3021</v>
      </c>
      <c r="E482" s="8" t="s">
        <v>3022</v>
      </c>
      <c r="F482" s="8" t="s">
        <v>3023</v>
      </c>
      <c r="G482" s="6" t="s">
        <v>53</v>
      </c>
      <c r="H482" s="6" t="s">
        <v>38</v>
      </c>
      <c r="I482" s="8" t="s">
        <v>54</v>
      </c>
      <c r="J482" s="9">
        <v>1</v>
      </c>
      <c r="K482" s="9">
        <v>174</v>
      </c>
      <c r="L482" s="9">
        <v>2024</v>
      </c>
      <c r="M482" s="8" t="s">
        <v>3024</v>
      </c>
      <c r="N482" s="8" t="s">
        <v>41</v>
      </c>
      <c r="O482" s="8" t="s">
        <v>42</v>
      </c>
      <c r="P482" s="6" t="s">
        <v>58</v>
      </c>
      <c r="Q482" s="8" t="s">
        <v>44</v>
      </c>
      <c r="R482" s="10" t="s">
        <v>1195</v>
      </c>
      <c r="S482" s="11"/>
      <c r="T482" s="6"/>
      <c r="U482" s="27" t="str">
        <f>HYPERLINK("https://media.infra-m.ru/2102/2102691/cover/2102691.jpg", "Обложка")</f>
        <v>Обложка</v>
      </c>
      <c r="V482" s="27" t="str">
        <f>HYPERLINK("https://znanium.com/catalog/product/2102691", "Ознакомиться")</f>
        <v>Ознакомиться</v>
      </c>
      <c r="W482" s="8" t="s">
        <v>215</v>
      </c>
      <c r="X482" s="6"/>
      <c r="Y482" s="6"/>
      <c r="Z482" s="6"/>
      <c r="AA482" s="6" t="s">
        <v>128</v>
      </c>
    </row>
    <row r="483" spans="1:27" s="4" customFormat="1" ht="51.95" customHeight="1">
      <c r="A483" s="5">
        <v>0</v>
      </c>
      <c r="B483" s="6" t="s">
        <v>3025</v>
      </c>
      <c r="C483" s="7">
        <v>1727</v>
      </c>
      <c r="D483" s="8" t="s">
        <v>3026</v>
      </c>
      <c r="E483" s="8" t="s">
        <v>3027</v>
      </c>
      <c r="F483" s="8" t="s">
        <v>3028</v>
      </c>
      <c r="G483" s="6" t="s">
        <v>37</v>
      </c>
      <c r="H483" s="6" t="s">
        <v>38</v>
      </c>
      <c r="I483" s="8" t="s">
        <v>173</v>
      </c>
      <c r="J483" s="9">
        <v>1</v>
      </c>
      <c r="K483" s="9">
        <v>289</v>
      </c>
      <c r="L483" s="9">
        <v>2023</v>
      </c>
      <c r="M483" s="8" t="s">
        <v>3029</v>
      </c>
      <c r="N483" s="8" t="s">
        <v>41</v>
      </c>
      <c r="O483" s="8" t="s">
        <v>42</v>
      </c>
      <c r="P483" s="6" t="s">
        <v>77</v>
      </c>
      <c r="Q483" s="8" t="s">
        <v>89</v>
      </c>
      <c r="R483" s="10" t="s">
        <v>3030</v>
      </c>
      <c r="S483" s="11" t="s">
        <v>3031</v>
      </c>
      <c r="T483" s="6" t="s">
        <v>46</v>
      </c>
      <c r="U483" s="27" t="str">
        <f>HYPERLINK("https://media.infra-m.ru/2045/2045898/cover/2045898.jpg", "Обложка")</f>
        <v>Обложка</v>
      </c>
      <c r="V483" s="27" t="str">
        <f>HYPERLINK("https://znanium.com/catalog/product/1588598", "Ознакомиться")</f>
        <v>Ознакомиться</v>
      </c>
      <c r="W483" s="8" t="s">
        <v>638</v>
      </c>
      <c r="X483" s="6"/>
      <c r="Y483" s="6"/>
      <c r="Z483" s="6"/>
      <c r="AA483" s="6" t="s">
        <v>3032</v>
      </c>
    </row>
    <row r="484" spans="1:27" s="4" customFormat="1" ht="51.95" customHeight="1">
      <c r="A484" s="5">
        <v>0</v>
      </c>
      <c r="B484" s="6" t="s">
        <v>3033</v>
      </c>
      <c r="C484" s="7">
        <v>1184.9000000000001</v>
      </c>
      <c r="D484" s="8" t="s">
        <v>3034</v>
      </c>
      <c r="E484" s="8" t="s">
        <v>3035</v>
      </c>
      <c r="F484" s="8" t="s">
        <v>3028</v>
      </c>
      <c r="G484" s="6" t="s">
        <v>165</v>
      </c>
      <c r="H484" s="6" t="s">
        <v>38</v>
      </c>
      <c r="I484" s="8" t="s">
        <v>173</v>
      </c>
      <c r="J484" s="9">
        <v>1</v>
      </c>
      <c r="K484" s="9">
        <v>257</v>
      </c>
      <c r="L484" s="9">
        <v>2021</v>
      </c>
      <c r="M484" s="8" t="s">
        <v>3036</v>
      </c>
      <c r="N484" s="8" t="s">
        <v>41</v>
      </c>
      <c r="O484" s="8" t="s">
        <v>42</v>
      </c>
      <c r="P484" s="6" t="s">
        <v>77</v>
      </c>
      <c r="Q484" s="8" t="s">
        <v>89</v>
      </c>
      <c r="R484" s="10" t="s">
        <v>3030</v>
      </c>
      <c r="S484" s="11" t="s">
        <v>3037</v>
      </c>
      <c r="T484" s="6" t="s">
        <v>46</v>
      </c>
      <c r="U484" s="27" t="str">
        <f>HYPERLINK("https://media.infra-m.ru/1635/1635343/cover/1635343.jpg", "Обложка")</f>
        <v>Обложка</v>
      </c>
      <c r="V484" s="27" t="str">
        <f>HYPERLINK("https://znanium.com/catalog/product/1588598", "Ознакомиться")</f>
        <v>Ознакомиться</v>
      </c>
      <c r="W484" s="8" t="s">
        <v>638</v>
      </c>
      <c r="X484" s="6"/>
      <c r="Y484" s="6"/>
      <c r="Z484" s="6"/>
      <c r="AA484" s="6" t="s">
        <v>189</v>
      </c>
    </row>
    <row r="485" spans="1:27" s="4" customFormat="1" ht="44.1" customHeight="1">
      <c r="A485" s="5">
        <v>0</v>
      </c>
      <c r="B485" s="6" t="s">
        <v>3038</v>
      </c>
      <c r="C485" s="13">
        <v>944</v>
      </c>
      <c r="D485" s="8" t="s">
        <v>3039</v>
      </c>
      <c r="E485" s="8" t="s">
        <v>3040</v>
      </c>
      <c r="F485" s="8" t="s">
        <v>3041</v>
      </c>
      <c r="G485" s="6" t="s">
        <v>53</v>
      </c>
      <c r="H485" s="6" t="s">
        <v>87</v>
      </c>
      <c r="I485" s="8"/>
      <c r="J485" s="9">
        <v>1</v>
      </c>
      <c r="K485" s="9">
        <v>205</v>
      </c>
      <c r="L485" s="9">
        <v>2024</v>
      </c>
      <c r="M485" s="8" t="s">
        <v>3042</v>
      </c>
      <c r="N485" s="8" t="s">
        <v>56</v>
      </c>
      <c r="O485" s="8" t="s">
        <v>57</v>
      </c>
      <c r="P485" s="6" t="s">
        <v>58</v>
      </c>
      <c r="Q485" s="8" t="s">
        <v>44</v>
      </c>
      <c r="R485" s="10" t="s">
        <v>3043</v>
      </c>
      <c r="S485" s="11"/>
      <c r="T485" s="6"/>
      <c r="U485" s="27" t="str">
        <f>HYPERLINK("https://media.infra-m.ru/2073/2073482/cover/2073482.jpg", "Обложка")</f>
        <v>Обложка</v>
      </c>
      <c r="V485" s="27" t="str">
        <f>HYPERLINK("https://znanium.com/catalog/product/950839", "Ознакомиться")</f>
        <v>Ознакомиться</v>
      </c>
      <c r="W485" s="8" t="s">
        <v>503</v>
      </c>
      <c r="X485" s="6"/>
      <c r="Y485" s="6"/>
      <c r="Z485" s="6"/>
      <c r="AA485" s="6" t="s">
        <v>92</v>
      </c>
    </row>
    <row r="486" spans="1:27" s="4" customFormat="1" ht="51.95" customHeight="1">
      <c r="A486" s="5">
        <v>0</v>
      </c>
      <c r="B486" s="6" t="s">
        <v>3044</v>
      </c>
      <c r="C486" s="7">
        <v>1154.9000000000001</v>
      </c>
      <c r="D486" s="8" t="s">
        <v>3045</v>
      </c>
      <c r="E486" s="8" t="s">
        <v>3046</v>
      </c>
      <c r="F486" s="8" t="s">
        <v>3047</v>
      </c>
      <c r="G486" s="6" t="s">
        <v>53</v>
      </c>
      <c r="H486" s="6" t="s">
        <v>38</v>
      </c>
      <c r="I486" s="8" t="s">
        <v>173</v>
      </c>
      <c r="J486" s="9">
        <v>1</v>
      </c>
      <c r="K486" s="9">
        <v>256</v>
      </c>
      <c r="L486" s="9">
        <v>2023</v>
      </c>
      <c r="M486" s="8" t="s">
        <v>3048</v>
      </c>
      <c r="N486" s="8" t="s">
        <v>41</v>
      </c>
      <c r="O486" s="8" t="s">
        <v>42</v>
      </c>
      <c r="P486" s="6" t="s">
        <v>77</v>
      </c>
      <c r="Q486" s="8" t="s">
        <v>89</v>
      </c>
      <c r="R486" s="10" t="s">
        <v>802</v>
      </c>
      <c r="S486" s="11" t="s">
        <v>3049</v>
      </c>
      <c r="T486" s="6" t="s">
        <v>46</v>
      </c>
      <c r="U486" s="27" t="str">
        <f>HYPERLINK("https://media.infra-m.ru/1902/1902840/cover/1902840.jpg", "Обложка")</f>
        <v>Обложка</v>
      </c>
      <c r="V486" s="27" t="str">
        <f>HYPERLINK("https://znanium.com/catalog/product/1838262", "Ознакомиться")</f>
        <v>Ознакомиться</v>
      </c>
      <c r="W486" s="8" t="s">
        <v>3050</v>
      </c>
      <c r="X486" s="6"/>
      <c r="Y486" s="6"/>
      <c r="Z486" s="6"/>
      <c r="AA486" s="6" t="s">
        <v>1092</v>
      </c>
    </row>
    <row r="487" spans="1:27" s="4" customFormat="1" ht="51.95" customHeight="1">
      <c r="A487" s="5">
        <v>0</v>
      </c>
      <c r="B487" s="6" t="s">
        <v>3051</v>
      </c>
      <c r="C487" s="13">
        <v>900</v>
      </c>
      <c r="D487" s="8" t="s">
        <v>3052</v>
      </c>
      <c r="E487" s="8" t="s">
        <v>3053</v>
      </c>
      <c r="F487" s="8" t="s">
        <v>3054</v>
      </c>
      <c r="G487" s="6" t="s">
        <v>37</v>
      </c>
      <c r="H487" s="6" t="s">
        <v>38</v>
      </c>
      <c r="I487" s="8" t="s">
        <v>122</v>
      </c>
      <c r="J487" s="9">
        <v>1</v>
      </c>
      <c r="K487" s="9">
        <v>192</v>
      </c>
      <c r="L487" s="9">
        <v>2024</v>
      </c>
      <c r="M487" s="8" t="s">
        <v>3055</v>
      </c>
      <c r="N487" s="8" t="s">
        <v>41</v>
      </c>
      <c r="O487" s="8" t="s">
        <v>42</v>
      </c>
      <c r="P487" s="6" t="s">
        <v>77</v>
      </c>
      <c r="Q487" s="8" t="s">
        <v>124</v>
      </c>
      <c r="R487" s="10" t="s">
        <v>671</v>
      </c>
      <c r="S487" s="11" t="s">
        <v>523</v>
      </c>
      <c r="T487" s="6"/>
      <c r="U487" s="27" t="str">
        <f>HYPERLINK("https://media.infra-m.ru/2079/2079290/cover/2079290.jpg", "Обложка")</f>
        <v>Обложка</v>
      </c>
      <c r="V487" s="27" t="str">
        <f>HYPERLINK("https://znanium.com/catalog/product/2079290", "Ознакомиться")</f>
        <v>Ознакомиться</v>
      </c>
      <c r="W487" s="8" t="s">
        <v>116</v>
      </c>
      <c r="X487" s="6"/>
      <c r="Y487" s="6"/>
      <c r="Z487" s="6"/>
      <c r="AA487" s="6" t="s">
        <v>109</v>
      </c>
    </row>
    <row r="488" spans="1:27" s="4" customFormat="1" ht="51.95" customHeight="1">
      <c r="A488" s="5">
        <v>0</v>
      </c>
      <c r="B488" s="6" t="s">
        <v>3056</v>
      </c>
      <c r="C488" s="13">
        <v>390</v>
      </c>
      <c r="D488" s="8" t="s">
        <v>3057</v>
      </c>
      <c r="E488" s="8" t="s">
        <v>3058</v>
      </c>
      <c r="F488" s="8" t="s">
        <v>3059</v>
      </c>
      <c r="G488" s="6" t="s">
        <v>53</v>
      </c>
      <c r="H488" s="6" t="s">
        <v>38</v>
      </c>
      <c r="I488" s="8" t="s">
        <v>54</v>
      </c>
      <c r="J488" s="9">
        <v>1</v>
      </c>
      <c r="K488" s="9">
        <v>72</v>
      </c>
      <c r="L488" s="9">
        <v>2024</v>
      </c>
      <c r="M488" s="8" t="s">
        <v>3060</v>
      </c>
      <c r="N488" s="8" t="s">
        <v>41</v>
      </c>
      <c r="O488" s="8" t="s">
        <v>42</v>
      </c>
      <c r="P488" s="6" t="s">
        <v>58</v>
      </c>
      <c r="Q488" s="8" t="s">
        <v>44</v>
      </c>
      <c r="R488" s="10" t="s">
        <v>3061</v>
      </c>
      <c r="S488" s="11"/>
      <c r="T488" s="6"/>
      <c r="U488" s="27" t="str">
        <f>HYPERLINK("https://media.infra-m.ru/1861/1861902/cover/1861902.jpg", "Обложка")</f>
        <v>Обложка</v>
      </c>
      <c r="V488" s="27" t="str">
        <f>HYPERLINK("https://znanium.com/catalog/product/1861902", "Ознакомиться")</f>
        <v>Ознакомиться</v>
      </c>
      <c r="W488" s="8" t="s">
        <v>108</v>
      </c>
      <c r="X488" s="6"/>
      <c r="Y488" s="6"/>
      <c r="Z488" s="6"/>
      <c r="AA488" s="6" t="s">
        <v>117</v>
      </c>
    </row>
    <row r="489" spans="1:27" s="4" customFormat="1" ht="42" customHeight="1">
      <c r="A489" s="5">
        <v>0</v>
      </c>
      <c r="B489" s="6" t="s">
        <v>3062</v>
      </c>
      <c r="C489" s="7">
        <v>1510</v>
      </c>
      <c r="D489" s="8" t="s">
        <v>3063</v>
      </c>
      <c r="E489" s="8" t="s">
        <v>3064</v>
      </c>
      <c r="F489" s="8" t="s">
        <v>3065</v>
      </c>
      <c r="G489" s="6" t="s">
        <v>53</v>
      </c>
      <c r="H489" s="6" t="s">
        <v>38</v>
      </c>
      <c r="I489" s="8" t="s">
        <v>54</v>
      </c>
      <c r="J489" s="9">
        <v>1</v>
      </c>
      <c r="K489" s="9">
        <v>388</v>
      </c>
      <c r="L489" s="9">
        <v>2022</v>
      </c>
      <c r="M489" s="8" t="s">
        <v>3066</v>
      </c>
      <c r="N489" s="8" t="s">
        <v>41</v>
      </c>
      <c r="O489" s="8" t="s">
        <v>42</v>
      </c>
      <c r="P489" s="6" t="s">
        <v>58</v>
      </c>
      <c r="Q489" s="8" t="s">
        <v>44</v>
      </c>
      <c r="R489" s="10" t="s">
        <v>3067</v>
      </c>
      <c r="S489" s="11"/>
      <c r="T489" s="6"/>
      <c r="U489" s="27" t="str">
        <f>HYPERLINK("https://media.infra-m.ru/1816/1816434/cover/1816434.jpg", "Обложка")</f>
        <v>Обложка</v>
      </c>
      <c r="V489" s="27" t="str">
        <f>HYPERLINK("https://znanium.com/catalog/product/1816434", "Ознакомиться")</f>
        <v>Ознакомиться</v>
      </c>
      <c r="W489" s="8" t="s">
        <v>154</v>
      </c>
      <c r="X489" s="6"/>
      <c r="Y489" s="6"/>
      <c r="Z489" s="6"/>
      <c r="AA489" s="6" t="s">
        <v>83</v>
      </c>
    </row>
    <row r="490" spans="1:27" s="4" customFormat="1" ht="51.95" customHeight="1">
      <c r="A490" s="5">
        <v>0</v>
      </c>
      <c r="B490" s="6" t="s">
        <v>3068</v>
      </c>
      <c r="C490" s="7">
        <v>2174</v>
      </c>
      <c r="D490" s="8" t="s">
        <v>3069</v>
      </c>
      <c r="E490" s="8" t="s">
        <v>3070</v>
      </c>
      <c r="F490" s="8" t="s">
        <v>3071</v>
      </c>
      <c r="G490" s="6" t="s">
        <v>37</v>
      </c>
      <c r="H490" s="6" t="s">
        <v>248</v>
      </c>
      <c r="I490" s="8"/>
      <c r="J490" s="9">
        <v>1</v>
      </c>
      <c r="K490" s="9">
        <v>227</v>
      </c>
      <c r="L490" s="9">
        <v>2024</v>
      </c>
      <c r="M490" s="8" t="s">
        <v>3072</v>
      </c>
      <c r="N490" s="8" t="s">
        <v>41</v>
      </c>
      <c r="O490" s="8" t="s">
        <v>42</v>
      </c>
      <c r="P490" s="6" t="s">
        <v>3073</v>
      </c>
      <c r="Q490" s="8" t="s">
        <v>89</v>
      </c>
      <c r="R490" s="10" t="s">
        <v>3074</v>
      </c>
      <c r="S490" s="11" t="s">
        <v>3075</v>
      </c>
      <c r="T490" s="6"/>
      <c r="U490" s="27" t="str">
        <f>HYPERLINK("https://media.infra-m.ru/2105/2105367/cover/2105367.jpg", "Обложка")</f>
        <v>Обложка</v>
      </c>
      <c r="V490" s="27" t="str">
        <f>HYPERLINK("https://znanium.com/catalog/product/1045577", "Ознакомиться")</f>
        <v>Ознакомиться</v>
      </c>
      <c r="W490" s="8" t="s">
        <v>116</v>
      </c>
      <c r="X490" s="6"/>
      <c r="Y490" s="6"/>
      <c r="Z490" s="6"/>
      <c r="AA490" s="6" t="s">
        <v>622</v>
      </c>
    </row>
    <row r="491" spans="1:27" s="4" customFormat="1" ht="44.1" customHeight="1">
      <c r="A491" s="5">
        <v>0</v>
      </c>
      <c r="B491" s="6" t="s">
        <v>3076</v>
      </c>
      <c r="C491" s="13">
        <v>360</v>
      </c>
      <c r="D491" s="8" t="s">
        <v>3077</v>
      </c>
      <c r="E491" s="8" t="s">
        <v>3078</v>
      </c>
      <c r="F491" s="8" t="s">
        <v>3079</v>
      </c>
      <c r="G491" s="6" t="s">
        <v>53</v>
      </c>
      <c r="H491" s="6" t="s">
        <v>38</v>
      </c>
      <c r="I491" s="8" t="s">
        <v>54</v>
      </c>
      <c r="J491" s="9">
        <v>1</v>
      </c>
      <c r="K491" s="9">
        <v>80</v>
      </c>
      <c r="L491" s="9">
        <v>2023</v>
      </c>
      <c r="M491" s="8" t="s">
        <v>3080</v>
      </c>
      <c r="N491" s="8" t="s">
        <v>41</v>
      </c>
      <c r="O491" s="8" t="s">
        <v>42</v>
      </c>
      <c r="P491" s="6" t="s">
        <v>58</v>
      </c>
      <c r="Q491" s="8" t="s">
        <v>44</v>
      </c>
      <c r="R491" s="10" t="s">
        <v>3081</v>
      </c>
      <c r="S491" s="11"/>
      <c r="T491" s="6"/>
      <c r="U491" s="27" t="str">
        <f>HYPERLINK("https://media.infra-m.ru/1896/1896424/cover/1896424.jpg", "Обложка")</f>
        <v>Обложка</v>
      </c>
      <c r="V491" s="27" t="str">
        <f>HYPERLINK("https://znanium.com/catalog/product/1896424", "Ознакомиться")</f>
        <v>Ознакомиться</v>
      </c>
      <c r="W491" s="8" t="s">
        <v>262</v>
      </c>
      <c r="X491" s="6"/>
      <c r="Y491" s="6"/>
      <c r="Z491" s="6"/>
      <c r="AA491" s="6" t="s">
        <v>101</v>
      </c>
    </row>
    <row r="492" spans="1:27" s="4" customFormat="1" ht="51.95" customHeight="1">
      <c r="A492" s="5">
        <v>0</v>
      </c>
      <c r="B492" s="6" t="s">
        <v>3082</v>
      </c>
      <c r="C492" s="13">
        <v>930</v>
      </c>
      <c r="D492" s="8" t="s">
        <v>3083</v>
      </c>
      <c r="E492" s="8" t="s">
        <v>3084</v>
      </c>
      <c r="F492" s="8" t="s">
        <v>3085</v>
      </c>
      <c r="G492" s="6" t="s">
        <v>37</v>
      </c>
      <c r="H492" s="6" t="s">
        <v>38</v>
      </c>
      <c r="I492" s="8" t="s">
        <v>75</v>
      </c>
      <c r="J492" s="9">
        <v>1</v>
      </c>
      <c r="K492" s="9">
        <v>202</v>
      </c>
      <c r="L492" s="9">
        <v>2024</v>
      </c>
      <c r="M492" s="8" t="s">
        <v>3086</v>
      </c>
      <c r="N492" s="8" t="s">
        <v>41</v>
      </c>
      <c r="O492" s="8" t="s">
        <v>42</v>
      </c>
      <c r="P492" s="6" t="s">
        <v>185</v>
      </c>
      <c r="Q492" s="8" t="s">
        <v>78</v>
      </c>
      <c r="R492" s="10" t="s">
        <v>1381</v>
      </c>
      <c r="S492" s="11" t="s">
        <v>3087</v>
      </c>
      <c r="T492" s="6"/>
      <c r="U492" s="27" t="str">
        <f>HYPERLINK("https://media.infra-m.ru/2102/2102670/cover/2102670.jpg", "Обложка")</f>
        <v>Обложка</v>
      </c>
      <c r="V492" s="27" t="str">
        <f>HYPERLINK("https://znanium.com/catalog/product/2102670", "Ознакомиться")</f>
        <v>Ознакомиться</v>
      </c>
      <c r="W492" s="8" t="s">
        <v>1614</v>
      </c>
      <c r="X492" s="6"/>
      <c r="Y492" s="6"/>
      <c r="Z492" s="6" t="s">
        <v>82</v>
      </c>
      <c r="AA492" s="6" t="s">
        <v>136</v>
      </c>
    </row>
    <row r="493" spans="1:27" s="4" customFormat="1" ht="44.1" customHeight="1">
      <c r="A493" s="5">
        <v>0</v>
      </c>
      <c r="B493" s="6" t="s">
        <v>3088</v>
      </c>
      <c r="C493" s="13">
        <v>910</v>
      </c>
      <c r="D493" s="8" t="s">
        <v>3089</v>
      </c>
      <c r="E493" s="8" t="s">
        <v>3084</v>
      </c>
      <c r="F493" s="8" t="s">
        <v>3085</v>
      </c>
      <c r="G493" s="6" t="s">
        <v>37</v>
      </c>
      <c r="H493" s="6" t="s">
        <v>38</v>
      </c>
      <c r="I493" s="8" t="s">
        <v>39</v>
      </c>
      <c r="J493" s="9">
        <v>1</v>
      </c>
      <c r="K493" s="9">
        <v>202</v>
      </c>
      <c r="L493" s="9">
        <v>2023</v>
      </c>
      <c r="M493" s="8" t="s">
        <v>3090</v>
      </c>
      <c r="N493" s="8" t="s">
        <v>41</v>
      </c>
      <c r="O493" s="8" t="s">
        <v>42</v>
      </c>
      <c r="P493" s="6" t="s">
        <v>185</v>
      </c>
      <c r="Q493" s="8" t="s">
        <v>89</v>
      </c>
      <c r="R493" s="10" t="s">
        <v>3091</v>
      </c>
      <c r="S493" s="11"/>
      <c r="T493" s="6"/>
      <c r="U493" s="27" t="str">
        <f>HYPERLINK("https://media.infra-m.ru/1920/1920314/cover/1920314.jpg", "Обложка")</f>
        <v>Обложка</v>
      </c>
      <c r="V493" s="27" t="str">
        <f>HYPERLINK("https://znanium.com/catalog/product/1920314", "Ознакомиться")</f>
        <v>Ознакомиться</v>
      </c>
      <c r="W493" s="8" t="s">
        <v>1614</v>
      </c>
      <c r="X493" s="6"/>
      <c r="Y493" s="6"/>
      <c r="Z493" s="6"/>
      <c r="AA493" s="6" t="s">
        <v>70</v>
      </c>
    </row>
    <row r="494" spans="1:27" s="4" customFormat="1" ht="42" customHeight="1">
      <c r="A494" s="5">
        <v>0</v>
      </c>
      <c r="B494" s="6" t="s">
        <v>3092</v>
      </c>
      <c r="C494" s="7">
        <v>1120</v>
      </c>
      <c r="D494" s="8" t="s">
        <v>3093</v>
      </c>
      <c r="E494" s="8" t="s">
        <v>3094</v>
      </c>
      <c r="F494" s="8" t="s">
        <v>3095</v>
      </c>
      <c r="G494" s="6" t="s">
        <v>37</v>
      </c>
      <c r="H494" s="6" t="s">
        <v>38</v>
      </c>
      <c r="I494" s="8" t="s">
        <v>39</v>
      </c>
      <c r="J494" s="9">
        <v>1</v>
      </c>
      <c r="K494" s="9">
        <v>242</v>
      </c>
      <c r="L494" s="9">
        <v>2024</v>
      </c>
      <c r="M494" s="8" t="s">
        <v>3096</v>
      </c>
      <c r="N494" s="8" t="s">
        <v>41</v>
      </c>
      <c r="O494" s="8" t="s">
        <v>42</v>
      </c>
      <c r="P494" s="6" t="s">
        <v>3097</v>
      </c>
      <c r="Q494" s="8" t="s">
        <v>316</v>
      </c>
      <c r="R494" s="10" t="s">
        <v>1136</v>
      </c>
      <c r="S494" s="11"/>
      <c r="T494" s="6"/>
      <c r="U494" s="27" t="str">
        <f>HYPERLINK("https://media.infra-m.ru/2082/2082777/cover/2082777.jpg", "Обложка")</f>
        <v>Обложка</v>
      </c>
      <c r="V494" s="27" t="str">
        <f>HYPERLINK("https://znanium.com/catalog/product/2082777", "Ознакомиться")</f>
        <v>Ознакомиться</v>
      </c>
      <c r="W494" s="8" t="s">
        <v>177</v>
      </c>
      <c r="X494" s="6"/>
      <c r="Y494" s="6"/>
      <c r="Z494" s="6"/>
      <c r="AA494" s="6" t="s">
        <v>136</v>
      </c>
    </row>
    <row r="495" spans="1:27" s="4" customFormat="1" ht="51.95" customHeight="1">
      <c r="A495" s="5">
        <v>0</v>
      </c>
      <c r="B495" s="6" t="s">
        <v>3098</v>
      </c>
      <c r="C495" s="7">
        <v>1520</v>
      </c>
      <c r="D495" s="8" t="s">
        <v>3099</v>
      </c>
      <c r="E495" s="8" t="s">
        <v>3100</v>
      </c>
      <c r="F495" s="8" t="s">
        <v>3101</v>
      </c>
      <c r="G495" s="6" t="s">
        <v>37</v>
      </c>
      <c r="H495" s="6" t="s">
        <v>1423</v>
      </c>
      <c r="I495" s="8" t="s">
        <v>183</v>
      </c>
      <c r="J495" s="9">
        <v>1</v>
      </c>
      <c r="K495" s="9">
        <v>400</v>
      </c>
      <c r="L495" s="9">
        <v>2022</v>
      </c>
      <c r="M495" s="8" t="s">
        <v>3102</v>
      </c>
      <c r="N495" s="8" t="s">
        <v>56</v>
      </c>
      <c r="O495" s="8" t="s">
        <v>57</v>
      </c>
      <c r="P495" s="6" t="s">
        <v>77</v>
      </c>
      <c r="Q495" s="8" t="s">
        <v>89</v>
      </c>
      <c r="R495" s="10" t="s">
        <v>206</v>
      </c>
      <c r="S495" s="11" t="s">
        <v>3103</v>
      </c>
      <c r="T495" s="6"/>
      <c r="U495" s="27" t="str">
        <f>HYPERLINK("https://media.infra-m.ru/1862/1862644/cover/1862644.jpg", "Обложка")</f>
        <v>Обложка</v>
      </c>
      <c r="V495" s="12"/>
      <c r="W495" s="8" t="s">
        <v>371</v>
      </c>
      <c r="X495" s="6"/>
      <c r="Y495" s="6"/>
      <c r="Z495" s="6"/>
      <c r="AA495" s="6" t="s">
        <v>250</v>
      </c>
    </row>
    <row r="496" spans="1:27" s="4" customFormat="1" ht="51.95" customHeight="1">
      <c r="A496" s="5">
        <v>0</v>
      </c>
      <c r="B496" s="6" t="s">
        <v>3104</v>
      </c>
      <c r="C496" s="13">
        <v>980</v>
      </c>
      <c r="D496" s="8" t="s">
        <v>3105</v>
      </c>
      <c r="E496" s="8" t="s">
        <v>3106</v>
      </c>
      <c r="F496" s="8" t="s">
        <v>3107</v>
      </c>
      <c r="G496" s="6" t="s">
        <v>37</v>
      </c>
      <c r="H496" s="6" t="s">
        <v>38</v>
      </c>
      <c r="I496" s="8" t="s">
        <v>75</v>
      </c>
      <c r="J496" s="9">
        <v>1</v>
      </c>
      <c r="K496" s="9">
        <v>218</v>
      </c>
      <c r="L496" s="9">
        <v>2023</v>
      </c>
      <c r="M496" s="8" t="s">
        <v>3108</v>
      </c>
      <c r="N496" s="8" t="s">
        <v>41</v>
      </c>
      <c r="O496" s="8" t="s">
        <v>42</v>
      </c>
      <c r="P496" s="6" t="s">
        <v>185</v>
      </c>
      <c r="Q496" s="8" t="s">
        <v>78</v>
      </c>
      <c r="R496" s="10" t="s">
        <v>3109</v>
      </c>
      <c r="S496" s="11" t="s">
        <v>3110</v>
      </c>
      <c r="T496" s="6"/>
      <c r="U496" s="27" t="str">
        <f>HYPERLINK("https://media.infra-m.ru/1859/1859831/cover/1859831.jpg", "Обложка")</f>
        <v>Обложка</v>
      </c>
      <c r="V496" s="27" t="str">
        <f>HYPERLINK("https://znanium.com/catalog/product/1859831", "Ознакомиться")</f>
        <v>Ознакомиться</v>
      </c>
      <c r="W496" s="8" t="s">
        <v>1608</v>
      </c>
      <c r="X496" s="6"/>
      <c r="Y496" s="6" t="s">
        <v>30</v>
      </c>
      <c r="Z496" s="6"/>
      <c r="AA496" s="6" t="s">
        <v>136</v>
      </c>
    </row>
    <row r="497" spans="1:27" s="4" customFormat="1" ht="44.1" customHeight="1">
      <c r="A497" s="5">
        <v>0</v>
      </c>
      <c r="B497" s="6" t="s">
        <v>3111</v>
      </c>
      <c r="C497" s="7">
        <v>1010</v>
      </c>
      <c r="D497" s="8" t="s">
        <v>3112</v>
      </c>
      <c r="E497" s="8" t="s">
        <v>3113</v>
      </c>
      <c r="F497" s="8" t="s">
        <v>132</v>
      </c>
      <c r="G497" s="6" t="s">
        <v>165</v>
      </c>
      <c r="H497" s="6" t="s">
        <v>38</v>
      </c>
      <c r="I497" s="8" t="s">
        <v>54</v>
      </c>
      <c r="J497" s="9">
        <v>1</v>
      </c>
      <c r="K497" s="9">
        <v>221</v>
      </c>
      <c r="L497" s="9">
        <v>2023</v>
      </c>
      <c r="M497" s="8" t="s">
        <v>3114</v>
      </c>
      <c r="N497" s="8" t="s">
        <v>41</v>
      </c>
      <c r="O497" s="8" t="s">
        <v>42</v>
      </c>
      <c r="P497" s="6" t="s">
        <v>58</v>
      </c>
      <c r="Q497" s="8" t="s">
        <v>44</v>
      </c>
      <c r="R497" s="10" t="s">
        <v>3115</v>
      </c>
      <c r="S497" s="11"/>
      <c r="T497" s="6"/>
      <c r="U497" s="27" t="str">
        <f>HYPERLINK("https://media.infra-m.ru/1859/1859641/cover/1859641.jpg", "Обложка")</f>
        <v>Обложка</v>
      </c>
      <c r="V497" s="27" t="str">
        <f>HYPERLINK("https://znanium.com/catalog/product/1859641", "Ознакомиться")</f>
        <v>Ознакомиться</v>
      </c>
      <c r="W497" s="8" t="s">
        <v>135</v>
      </c>
      <c r="X497" s="6" t="s">
        <v>2457</v>
      </c>
      <c r="Y497" s="6"/>
      <c r="Z497" s="6"/>
      <c r="AA497" s="6" t="s">
        <v>61</v>
      </c>
    </row>
    <row r="498" spans="1:27" s="4" customFormat="1" ht="42" customHeight="1">
      <c r="A498" s="5">
        <v>0</v>
      </c>
      <c r="B498" s="6" t="s">
        <v>3116</v>
      </c>
      <c r="C498" s="13">
        <v>444</v>
      </c>
      <c r="D498" s="8" t="s">
        <v>3117</v>
      </c>
      <c r="E498" s="8" t="s">
        <v>3118</v>
      </c>
      <c r="F498" s="8" t="s">
        <v>3119</v>
      </c>
      <c r="G498" s="6" t="s">
        <v>53</v>
      </c>
      <c r="H498" s="6" t="s">
        <v>38</v>
      </c>
      <c r="I498" s="8" t="s">
        <v>54</v>
      </c>
      <c r="J498" s="9">
        <v>1</v>
      </c>
      <c r="K498" s="9">
        <v>90</v>
      </c>
      <c r="L498" s="9">
        <v>2023</v>
      </c>
      <c r="M498" s="8" t="s">
        <v>3120</v>
      </c>
      <c r="N498" s="8" t="s">
        <v>41</v>
      </c>
      <c r="O498" s="8" t="s">
        <v>42</v>
      </c>
      <c r="P498" s="6" t="s">
        <v>58</v>
      </c>
      <c r="Q498" s="8" t="s">
        <v>44</v>
      </c>
      <c r="R498" s="10" t="s">
        <v>2405</v>
      </c>
      <c r="S498" s="11"/>
      <c r="T498" s="6"/>
      <c r="U498" s="27" t="str">
        <f>HYPERLINK("https://media.infra-m.ru/1996/1996448/cover/1996448.jpg", "Обложка")</f>
        <v>Обложка</v>
      </c>
      <c r="V498" s="27" t="str">
        <f>HYPERLINK("https://znanium.com/catalog/product/1946493", "Ознакомиться")</f>
        <v>Ознакомиться</v>
      </c>
      <c r="W498" s="8" t="s">
        <v>638</v>
      </c>
      <c r="X498" s="6"/>
      <c r="Y498" s="6"/>
      <c r="Z498" s="6"/>
      <c r="AA498" s="6" t="s">
        <v>101</v>
      </c>
    </row>
    <row r="499" spans="1:27" s="4" customFormat="1" ht="51.95" customHeight="1">
      <c r="A499" s="5">
        <v>0</v>
      </c>
      <c r="B499" s="6" t="s">
        <v>3121</v>
      </c>
      <c r="C499" s="7">
        <v>1530</v>
      </c>
      <c r="D499" s="8" t="s">
        <v>3122</v>
      </c>
      <c r="E499" s="8" t="s">
        <v>3123</v>
      </c>
      <c r="F499" s="8" t="s">
        <v>3124</v>
      </c>
      <c r="G499" s="6" t="s">
        <v>165</v>
      </c>
      <c r="H499" s="6" t="s">
        <v>38</v>
      </c>
      <c r="I499" s="8" t="s">
        <v>54</v>
      </c>
      <c r="J499" s="9">
        <v>1</v>
      </c>
      <c r="K499" s="9">
        <v>331</v>
      </c>
      <c r="L499" s="9">
        <v>2024</v>
      </c>
      <c r="M499" s="8" t="s">
        <v>3125</v>
      </c>
      <c r="N499" s="8" t="s">
        <v>41</v>
      </c>
      <c r="O499" s="8" t="s">
        <v>42</v>
      </c>
      <c r="P499" s="6" t="s">
        <v>58</v>
      </c>
      <c r="Q499" s="8" t="s">
        <v>44</v>
      </c>
      <c r="R499" s="10" t="s">
        <v>3126</v>
      </c>
      <c r="S499" s="11"/>
      <c r="T499" s="6"/>
      <c r="U499" s="27" t="str">
        <f>HYPERLINK("https://media.infra-m.ru/2091/2091440/cover/2091440.jpg", "Обложка")</f>
        <v>Обложка</v>
      </c>
      <c r="V499" s="27" t="str">
        <f>HYPERLINK("https://znanium.com/catalog/product/2091440", "Ознакомиться")</f>
        <v>Ознакомиться</v>
      </c>
      <c r="W499" s="8" t="s">
        <v>154</v>
      </c>
      <c r="X499" s="6" t="s">
        <v>468</v>
      </c>
      <c r="Y499" s="6"/>
      <c r="Z499" s="6"/>
      <c r="AA499" s="6" t="s">
        <v>270</v>
      </c>
    </row>
    <row r="500" spans="1:27" s="4" customFormat="1" ht="51.95" customHeight="1">
      <c r="A500" s="5">
        <v>0</v>
      </c>
      <c r="B500" s="6" t="s">
        <v>3127</v>
      </c>
      <c r="C500" s="13">
        <v>854.9</v>
      </c>
      <c r="D500" s="8" t="s">
        <v>3128</v>
      </c>
      <c r="E500" s="8" t="s">
        <v>3129</v>
      </c>
      <c r="F500" s="8" t="s">
        <v>3130</v>
      </c>
      <c r="G500" s="6" t="s">
        <v>165</v>
      </c>
      <c r="H500" s="6" t="s">
        <v>38</v>
      </c>
      <c r="I500" s="8" t="s">
        <v>173</v>
      </c>
      <c r="J500" s="9">
        <v>1</v>
      </c>
      <c r="K500" s="9">
        <v>189</v>
      </c>
      <c r="L500" s="9">
        <v>2023</v>
      </c>
      <c r="M500" s="8" t="s">
        <v>3131</v>
      </c>
      <c r="N500" s="8" t="s">
        <v>41</v>
      </c>
      <c r="O500" s="8" t="s">
        <v>42</v>
      </c>
      <c r="P500" s="6" t="s">
        <v>77</v>
      </c>
      <c r="Q500" s="8" t="s">
        <v>89</v>
      </c>
      <c r="R500" s="10" t="s">
        <v>442</v>
      </c>
      <c r="S500" s="11" t="s">
        <v>3132</v>
      </c>
      <c r="T500" s="6"/>
      <c r="U500" s="27" t="str">
        <f>HYPERLINK("https://media.infra-m.ru/2006/2006830/cover/2006830.jpg", "Обложка")</f>
        <v>Обложка</v>
      </c>
      <c r="V500" s="27" t="str">
        <f>HYPERLINK("https://znanium.com/catalog/product/1058944", "Ознакомиться")</f>
        <v>Ознакомиться</v>
      </c>
      <c r="W500" s="8" t="s">
        <v>116</v>
      </c>
      <c r="X500" s="6"/>
      <c r="Y500" s="6"/>
      <c r="Z500" s="6"/>
      <c r="AA500" s="6" t="s">
        <v>128</v>
      </c>
    </row>
    <row r="501" spans="1:27" s="4" customFormat="1" ht="42" customHeight="1">
      <c r="A501" s="5">
        <v>0</v>
      </c>
      <c r="B501" s="6" t="s">
        <v>3133</v>
      </c>
      <c r="C501" s="13">
        <v>680</v>
      </c>
      <c r="D501" s="8" t="s">
        <v>3134</v>
      </c>
      <c r="E501" s="8" t="s">
        <v>3135</v>
      </c>
      <c r="F501" s="8" t="s">
        <v>3136</v>
      </c>
      <c r="G501" s="6" t="s">
        <v>53</v>
      </c>
      <c r="H501" s="6" t="s">
        <v>38</v>
      </c>
      <c r="I501" s="8" t="s">
        <v>54</v>
      </c>
      <c r="J501" s="9">
        <v>1</v>
      </c>
      <c r="K501" s="9">
        <v>144</v>
      </c>
      <c r="L501" s="9">
        <v>2024</v>
      </c>
      <c r="M501" s="8" t="s">
        <v>3137</v>
      </c>
      <c r="N501" s="8" t="s">
        <v>41</v>
      </c>
      <c r="O501" s="8" t="s">
        <v>42</v>
      </c>
      <c r="P501" s="6" t="s">
        <v>58</v>
      </c>
      <c r="Q501" s="8" t="s">
        <v>44</v>
      </c>
      <c r="R501" s="10" t="s">
        <v>3138</v>
      </c>
      <c r="S501" s="11"/>
      <c r="T501" s="6"/>
      <c r="U501" s="27" t="str">
        <f>HYPERLINK("https://media.infra-m.ru/2074/2074386/cover/2074386.jpg", "Обложка")</f>
        <v>Обложка</v>
      </c>
      <c r="V501" s="27" t="str">
        <f>HYPERLINK("https://znanium.com/catalog/product/2074386", "Ознакомиться")</f>
        <v>Ознакомиться</v>
      </c>
      <c r="W501" s="8" t="s">
        <v>116</v>
      </c>
      <c r="X501" s="6"/>
      <c r="Y501" s="6"/>
      <c r="Z501" s="6"/>
      <c r="AA501" s="6" t="s">
        <v>178</v>
      </c>
    </row>
    <row r="502" spans="1:27" s="4" customFormat="1" ht="44.1" customHeight="1">
      <c r="A502" s="5">
        <v>0</v>
      </c>
      <c r="B502" s="6" t="s">
        <v>3139</v>
      </c>
      <c r="C502" s="13">
        <v>450</v>
      </c>
      <c r="D502" s="8" t="s">
        <v>3140</v>
      </c>
      <c r="E502" s="8" t="s">
        <v>3141</v>
      </c>
      <c r="F502" s="8" t="s">
        <v>3142</v>
      </c>
      <c r="G502" s="6" t="s">
        <v>53</v>
      </c>
      <c r="H502" s="6" t="s">
        <v>38</v>
      </c>
      <c r="I502" s="8" t="s">
        <v>54</v>
      </c>
      <c r="J502" s="9">
        <v>1</v>
      </c>
      <c r="K502" s="9">
        <v>117</v>
      </c>
      <c r="L502" s="9">
        <v>2020</v>
      </c>
      <c r="M502" s="8" t="s">
        <v>3143</v>
      </c>
      <c r="N502" s="8" t="s">
        <v>41</v>
      </c>
      <c r="O502" s="8" t="s">
        <v>42</v>
      </c>
      <c r="P502" s="6" t="s">
        <v>58</v>
      </c>
      <c r="Q502" s="8" t="s">
        <v>44</v>
      </c>
      <c r="R502" s="10" t="s">
        <v>1711</v>
      </c>
      <c r="S502" s="11"/>
      <c r="T502" s="6"/>
      <c r="U502" s="27" t="str">
        <f>HYPERLINK("https://media.infra-m.ru/1043/1043103/cover/1043103.jpg", "Обложка")</f>
        <v>Обложка</v>
      </c>
      <c r="V502" s="27" t="str">
        <f>HYPERLINK("https://znanium.com/catalog/product/1043103", "Ознакомиться")</f>
        <v>Ознакомиться</v>
      </c>
      <c r="W502" s="8" t="s">
        <v>917</v>
      </c>
      <c r="X502" s="6"/>
      <c r="Y502" s="6"/>
      <c r="Z502" s="6"/>
      <c r="AA502" s="6" t="s">
        <v>136</v>
      </c>
    </row>
    <row r="503" spans="1:27" s="4" customFormat="1" ht="51.95" customHeight="1">
      <c r="A503" s="5">
        <v>0</v>
      </c>
      <c r="B503" s="6" t="s">
        <v>3144</v>
      </c>
      <c r="C503" s="13">
        <v>870</v>
      </c>
      <c r="D503" s="8" t="s">
        <v>3145</v>
      </c>
      <c r="E503" s="8" t="s">
        <v>3146</v>
      </c>
      <c r="F503" s="8" t="s">
        <v>3147</v>
      </c>
      <c r="G503" s="6" t="s">
        <v>165</v>
      </c>
      <c r="H503" s="6" t="s">
        <v>38</v>
      </c>
      <c r="I503" s="8" t="s">
        <v>183</v>
      </c>
      <c r="J503" s="9">
        <v>1</v>
      </c>
      <c r="K503" s="9">
        <v>174</v>
      </c>
      <c r="L503" s="9">
        <v>2024</v>
      </c>
      <c r="M503" s="8" t="s">
        <v>3148</v>
      </c>
      <c r="N503" s="8" t="s">
        <v>41</v>
      </c>
      <c r="O503" s="8" t="s">
        <v>42</v>
      </c>
      <c r="P503" s="6" t="s">
        <v>77</v>
      </c>
      <c r="Q503" s="8" t="s">
        <v>89</v>
      </c>
      <c r="R503" s="10" t="s">
        <v>3149</v>
      </c>
      <c r="S503" s="11"/>
      <c r="T503" s="6"/>
      <c r="U503" s="27" t="str">
        <f>HYPERLINK("https://media.infra-m.ru/1882/1882578/cover/1882578.jpg", "Обложка")</f>
        <v>Обложка</v>
      </c>
      <c r="V503" s="27" t="str">
        <f>HYPERLINK("https://znanium.com/catalog/product/1882578", "Ознакомиться")</f>
        <v>Ознакомиться</v>
      </c>
      <c r="W503" s="8" t="s">
        <v>2506</v>
      </c>
      <c r="X503" s="6" t="s">
        <v>468</v>
      </c>
      <c r="Y503" s="6"/>
      <c r="Z503" s="6"/>
      <c r="AA503" s="6" t="s">
        <v>270</v>
      </c>
    </row>
    <row r="504" spans="1:27" s="4" customFormat="1" ht="44.1" customHeight="1">
      <c r="A504" s="5">
        <v>0</v>
      </c>
      <c r="B504" s="6" t="s">
        <v>3150</v>
      </c>
      <c r="C504" s="13">
        <v>850</v>
      </c>
      <c r="D504" s="8" t="s">
        <v>3151</v>
      </c>
      <c r="E504" s="8" t="s">
        <v>3152</v>
      </c>
      <c r="F504" s="8" t="s">
        <v>3153</v>
      </c>
      <c r="G504" s="6" t="s">
        <v>53</v>
      </c>
      <c r="H504" s="6" t="s">
        <v>38</v>
      </c>
      <c r="I504" s="8" t="s">
        <v>54</v>
      </c>
      <c r="J504" s="9">
        <v>1</v>
      </c>
      <c r="K504" s="9">
        <v>217</v>
      </c>
      <c r="L504" s="9">
        <v>2020</v>
      </c>
      <c r="M504" s="8" t="s">
        <v>3154</v>
      </c>
      <c r="N504" s="8" t="s">
        <v>56</v>
      </c>
      <c r="O504" s="8" t="s">
        <v>57</v>
      </c>
      <c r="P504" s="6" t="s">
        <v>58</v>
      </c>
      <c r="Q504" s="8" t="s">
        <v>44</v>
      </c>
      <c r="R504" s="10" t="s">
        <v>3155</v>
      </c>
      <c r="S504" s="11"/>
      <c r="T504" s="6"/>
      <c r="U504" s="27" t="str">
        <f>HYPERLINK("https://media.infra-m.ru/1053/1053569/cover/1053569.jpg", "Обложка")</f>
        <v>Обложка</v>
      </c>
      <c r="V504" s="27" t="str">
        <f>HYPERLINK("https://znanium.com/catalog/product/1053569", "Ознакомиться")</f>
        <v>Ознакомиться</v>
      </c>
      <c r="W504" s="8" t="s">
        <v>262</v>
      </c>
      <c r="X504" s="6"/>
      <c r="Y504" s="6"/>
      <c r="Z504" s="6"/>
      <c r="AA504" s="6" t="s">
        <v>136</v>
      </c>
    </row>
    <row r="505" spans="1:27" s="4" customFormat="1" ht="42" customHeight="1">
      <c r="A505" s="5">
        <v>0</v>
      </c>
      <c r="B505" s="6" t="s">
        <v>3156</v>
      </c>
      <c r="C505" s="7">
        <v>1520</v>
      </c>
      <c r="D505" s="8" t="s">
        <v>3157</v>
      </c>
      <c r="E505" s="8" t="s">
        <v>3158</v>
      </c>
      <c r="F505" s="8" t="s">
        <v>3159</v>
      </c>
      <c r="G505" s="6" t="s">
        <v>165</v>
      </c>
      <c r="H505" s="6" t="s">
        <v>38</v>
      </c>
      <c r="I505" s="8" t="s">
        <v>122</v>
      </c>
      <c r="J505" s="9">
        <v>1</v>
      </c>
      <c r="K505" s="9">
        <v>321</v>
      </c>
      <c r="L505" s="9">
        <v>2023</v>
      </c>
      <c r="M505" s="8" t="s">
        <v>3160</v>
      </c>
      <c r="N505" s="8" t="s">
        <v>56</v>
      </c>
      <c r="O505" s="8" t="s">
        <v>57</v>
      </c>
      <c r="P505" s="6" t="s">
        <v>150</v>
      </c>
      <c r="Q505" s="8" t="s">
        <v>124</v>
      </c>
      <c r="R505" s="10" t="s">
        <v>3161</v>
      </c>
      <c r="S505" s="11"/>
      <c r="T505" s="6"/>
      <c r="U505" s="27" t="str">
        <f>HYPERLINK("https://media.infra-m.ru/1837/1837051/cover/1837051.jpg", "Обложка")</f>
        <v>Обложка</v>
      </c>
      <c r="V505" s="27" t="str">
        <f>HYPERLINK("https://znanium.com/catalog/product/1837051", "Ознакомиться")</f>
        <v>Ознакомиться</v>
      </c>
      <c r="W505" s="8" t="s">
        <v>535</v>
      </c>
      <c r="X505" s="6" t="s">
        <v>1815</v>
      </c>
      <c r="Y505" s="6"/>
      <c r="Z505" s="6"/>
      <c r="AA505" s="6" t="s">
        <v>61</v>
      </c>
    </row>
    <row r="506" spans="1:27" s="4" customFormat="1" ht="51.95" customHeight="1">
      <c r="A506" s="5">
        <v>0</v>
      </c>
      <c r="B506" s="6" t="s">
        <v>3162</v>
      </c>
      <c r="C506" s="7">
        <v>1080</v>
      </c>
      <c r="D506" s="8" t="s">
        <v>3163</v>
      </c>
      <c r="E506" s="8" t="s">
        <v>3164</v>
      </c>
      <c r="F506" s="8" t="s">
        <v>140</v>
      </c>
      <c r="G506" s="6" t="s">
        <v>53</v>
      </c>
      <c r="H506" s="6" t="s">
        <v>38</v>
      </c>
      <c r="I506" s="8" t="s">
        <v>54</v>
      </c>
      <c r="J506" s="9">
        <v>1</v>
      </c>
      <c r="K506" s="9">
        <v>240</v>
      </c>
      <c r="L506" s="9">
        <v>2022</v>
      </c>
      <c r="M506" s="8" t="s">
        <v>3165</v>
      </c>
      <c r="N506" s="8" t="s">
        <v>56</v>
      </c>
      <c r="O506" s="8" t="s">
        <v>57</v>
      </c>
      <c r="P506" s="6" t="s">
        <v>58</v>
      </c>
      <c r="Q506" s="8" t="s">
        <v>44</v>
      </c>
      <c r="R506" s="10" t="s">
        <v>3166</v>
      </c>
      <c r="S506" s="11"/>
      <c r="T506" s="6"/>
      <c r="U506" s="27" t="str">
        <f>HYPERLINK("https://media.infra-m.ru/1852/1852202/cover/1852202.jpg", "Обложка")</f>
        <v>Обложка</v>
      </c>
      <c r="V506" s="27" t="str">
        <f>HYPERLINK("https://znanium.com/catalog/product/1852202", "Ознакомиться")</f>
        <v>Ознакомиться</v>
      </c>
      <c r="W506" s="8" t="s">
        <v>143</v>
      </c>
      <c r="X506" s="6"/>
      <c r="Y506" s="6"/>
      <c r="Z506" s="6"/>
      <c r="AA506" s="6" t="s">
        <v>622</v>
      </c>
    </row>
    <row r="507" spans="1:27" s="4" customFormat="1" ht="51.95" customHeight="1">
      <c r="A507" s="5">
        <v>0</v>
      </c>
      <c r="B507" s="6" t="s">
        <v>3167</v>
      </c>
      <c r="C507" s="13">
        <v>880</v>
      </c>
      <c r="D507" s="8" t="s">
        <v>3168</v>
      </c>
      <c r="E507" s="8" t="s">
        <v>3169</v>
      </c>
      <c r="F507" s="8" t="s">
        <v>3170</v>
      </c>
      <c r="G507" s="6" t="s">
        <v>37</v>
      </c>
      <c r="H507" s="6" t="s">
        <v>38</v>
      </c>
      <c r="I507" s="8" t="s">
        <v>183</v>
      </c>
      <c r="J507" s="9">
        <v>1</v>
      </c>
      <c r="K507" s="9">
        <v>191</v>
      </c>
      <c r="L507" s="9">
        <v>2024</v>
      </c>
      <c r="M507" s="8" t="s">
        <v>3171</v>
      </c>
      <c r="N507" s="8" t="s">
        <v>56</v>
      </c>
      <c r="O507" s="8" t="s">
        <v>57</v>
      </c>
      <c r="P507" s="6" t="s">
        <v>77</v>
      </c>
      <c r="Q507" s="8" t="s">
        <v>89</v>
      </c>
      <c r="R507" s="10" t="s">
        <v>3172</v>
      </c>
      <c r="S507" s="11" t="s">
        <v>3173</v>
      </c>
      <c r="T507" s="6" t="s">
        <v>46</v>
      </c>
      <c r="U507" s="27" t="str">
        <f>HYPERLINK("https://media.infra-m.ru/2096/2096932/cover/2096932.jpg", "Обложка")</f>
        <v>Обложка</v>
      </c>
      <c r="V507" s="27" t="str">
        <f>HYPERLINK("https://znanium.com/catalog/product/2096932", "Ознакомиться")</f>
        <v>Ознакомиться</v>
      </c>
      <c r="W507" s="8" t="s">
        <v>454</v>
      </c>
      <c r="X507" s="6"/>
      <c r="Y507" s="6"/>
      <c r="Z507" s="6"/>
      <c r="AA507" s="6" t="s">
        <v>48</v>
      </c>
    </row>
    <row r="508" spans="1:27" s="4" customFormat="1" ht="51.95" customHeight="1">
      <c r="A508" s="5">
        <v>0</v>
      </c>
      <c r="B508" s="6" t="s">
        <v>3174</v>
      </c>
      <c r="C508" s="13">
        <v>870</v>
      </c>
      <c r="D508" s="8" t="s">
        <v>3175</v>
      </c>
      <c r="E508" s="8" t="s">
        <v>3176</v>
      </c>
      <c r="F508" s="8" t="s">
        <v>3177</v>
      </c>
      <c r="G508" s="6" t="s">
        <v>53</v>
      </c>
      <c r="H508" s="6" t="s">
        <v>38</v>
      </c>
      <c r="I508" s="8" t="s">
        <v>54</v>
      </c>
      <c r="J508" s="9">
        <v>1</v>
      </c>
      <c r="K508" s="9">
        <v>185</v>
      </c>
      <c r="L508" s="9">
        <v>2023</v>
      </c>
      <c r="M508" s="8" t="s">
        <v>3178</v>
      </c>
      <c r="N508" s="8" t="s">
        <v>41</v>
      </c>
      <c r="O508" s="8" t="s">
        <v>42</v>
      </c>
      <c r="P508" s="6" t="s">
        <v>58</v>
      </c>
      <c r="Q508" s="8" t="s">
        <v>44</v>
      </c>
      <c r="R508" s="10" t="s">
        <v>3179</v>
      </c>
      <c r="S508" s="11"/>
      <c r="T508" s="6"/>
      <c r="U508" s="27" t="str">
        <f>HYPERLINK("https://media.infra-m.ru/1958/1958354/cover/1958354.jpg", "Обложка")</f>
        <v>Обложка</v>
      </c>
      <c r="V508" s="27" t="str">
        <f>HYPERLINK("https://znanium.com/catalog/product/1958354", "Ознакомиться")</f>
        <v>Ознакомиться</v>
      </c>
      <c r="W508" s="8" t="s">
        <v>47</v>
      </c>
      <c r="X508" s="6" t="s">
        <v>2826</v>
      </c>
      <c r="Y508" s="6"/>
      <c r="Z508" s="6"/>
      <c r="AA508" s="6" t="s">
        <v>61</v>
      </c>
    </row>
    <row r="509" spans="1:27" s="4" customFormat="1" ht="51.95" customHeight="1">
      <c r="A509" s="5">
        <v>0</v>
      </c>
      <c r="B509" s="6" t="s">
        <v>3180</v>
      </c>
      <c r="C509" s="13">
        <v>990</v>
      </c>
      <c r="D509" s="8" t="s">
        <v>3181</v>
      </c>
      <c r="E509" s="8" t="s">
        <v>3182</v>
      </c>
      <c r="F509" s="8" t="s">
        <v>2341</v>
      </c>
      <c r="G509" s="6" t="s">
        <v>37</v>
      </c>
      <c r="H509" s="6" t="s">
        <v>38</v>
      </c>
      <c r="I509" s="8" t="s">
        <v>54</v>
      </c>
      <c r="J509" s="9">
        <v>1</v>
      </c>
      <c r="K509" s="9">
        <v>208</v>
      </c>
      <c r="L509" s="9">
        <v>2024</v>
      </c>
      <c r="M509" s="8" t="s">
        <v>3183</v>
      </c>
      <c r="N509" s="8" t="s">
        <v>56</v>
      </c>
      <c r="O509" s="8" t="s">
        <v>57</v>
      </c>
      <c r="P509" s="6" t="s">
        <v>58</v>
      </c>
      <c r="Q509" s="8" t="s">
        <v>44</v>
      </c>
      <c r="R509" s="10" t="s">
        <v>3184</v>
      </c>
      <c r="S509" s="11"/>
      <c r="T509" s="6"/>
      <c r="U509" s="27" t="str">
        <f>HYPERLINK("https://media.infra-m.ru/2059/2059569/cover/2059569.jpg", "Обложка")</f>
        <v>Обложка</v>
      </c>
      <c r="V509" s="27" t="str">
        <f>HYPERLINK("https://znanium.com/catalog/product/2059569", "Ознакомиться")</f>
        <v>Ознакомиться</v>
      </c>
      <c r="W509" s="8" t="s">
        <v>2344</v>
      </c>
      <c r="X509" s="6"/>
      <c r="Y509" s="6"/>
      <c r="Z509" s="6"/>
      <c r="AA509" s="6" t="s">
        <v>83</v>
      </c>
    </row>
    <row r="510" spans="1:27" s="4" customFormat="1" ht="51.95" customHeight="1">
      <c r="A510" s="5">
        <v>0</v>
      </c>
      <c r="B510" s="6" t="s">
        <v>3185</v>
      </c>
      <c r="C510" s="13">
        <v>850</v>
      </c>
      <c r="D510" s="8" t="s">
        <v>3186</v>
      </c>
      <c r="E510" s="8" t="s">
        <v>3187</v>
      </c>
      <c r="F510" s="8" t="s">
        <v>3188</v>
      </c>
      <c r="G510" s="6" t="s">
        <v>53</v>
      </c>
      <c r="H510" s="6" t="s">
        <v>38</v>
      </c>
      <c r="I510" s="8" t="s">
        <v>54</v>
      </c>
      <c r="J510" s="9">
        <v>1</v>
      </c>
      <c r="K510" s="9">
        <v>212</v>
      </c>
      <c r="L510" s="9">
        <v>2020</v>
      </c>
      <c r="M510" s="8" t="s">
        <v>3189</v>
      </c>
      <c r="N510" s="8" t="s">
        <v>41</v>
      </c>
      <c r="O510" s="8" t="s">
        <v>42</v>
      </c>
      <c r="P510" s="6" t="s">
        <v>58</v>
      </c>
      <c r="Q510" s="8" t="s">
        <v>44</v>
      </c>
      <c r="R510" s="10" t="s">
        <v>619</v>
      </c>
      <c r="S510" s="11"/>
      <c r="T510" s="6"/>
      <c r="U510" s="27" t="str">
        <f>HYPERLINK("https://media.infra-m.ru/1035/1035828/cover/1035828.jpg", "Обложка")</f>
        <v>Обложка</v>
      </c>
      <c r="V510" s="27" t="str">
        <f>HYPERLINK("https://znanium.com/catalog/product/1035828", "Ознакомиться")</f>
        <v>Ознакомиться</v>
      </c>
      <c r="W510" s="8" t="s">
        <v>154</v>
      </c>
      <c r="X510" s="6"/>
      <c r="Y510" s="6"/>
      <c r="Z510" s="6"/>
      <c r="AA510" s="6" t="s">
        <v>189</v>
      </c>
    </row>
    <row r="511" spans="1:27" s="4" customFormat="1" ht="51.95" customHeight="1">
      <c r="A511" s="5">
        <v>0</v>
      </c>
      <c r="B511" s="6" t="s">
        <v>3190</v>
      </c>
      <c r="C511" s="13">
        <v>624</v>
      </c>
      <c r="D511" s="8" t="s">
        <v>3191</v>
      </c>
      <c r="E511" s="8" t="s">
        <v>3192</v>
      </c>
      <c r="F511" s="8" t="s">
        <v>3193</v>
      </c>
      <c r="G511" s="6" t="s">
        <v>53</v>
      </c>
      <c r="H511" s="6" t="s">
        <v>38</v>
      </c>
      <c r="I511" s="8" t="s">
        <v>54</v>
      </c>
      <c r="J511" s="9">
        <v>1</v>
      </c>
      <c r="K511" s="9">
        <v>137</v>
      </c>
      <c r="L511" s="9">
        <v>2023</v>
      </c>
      <c r="M511" s="8" t="s">
        <v>3194</v>
      </c>
      <c r="N511" s="8" t="s">
        <v>41</v>
      </c>
      <c r="O511" s="8" t="s">
        <v>42</v>
      </c>
      <c r="P511" s="6" t="s">
        <v>58</v>
      </c>
      <c r="Q511" s="8" t="s">
        <v>44</v>
      </c>
      <c r="R511" s="10" t="s">
        <v>3195</v>
      </c>
      <c r="S511" s="11"/>
      <c r="T511" s="6"/>
      <c r="U511" s="27" t="str">
        <f>HYPERLINK("https://media.infra-m.ru/2030/2030851/cover/2030851.jpg", "Обложка")</f>
        <v>Обложка</v>
      </c>
      <c r="V511" s="27" t="str">
        <f>HYPERLINK("https://znanium.com/catalog/product/1064499", "Ознакомиться")</f>
        <v>Ознакомиться</v>
      </c>
      <c r="W511" s="8" t="s">
        <v>483</v>
      </c>
      <c r="X511" s="6"/>
      <c r="Y511" s="6"/>
      <c r="Z511" s="6"/>
      <c r="AA511" s="6" t="s">
        <v>70</v>
      </c>
    </row>
    <row r="512" spans="1:27" s="4" customFormat="1" ht="51.95" customHeight="1">
      <c r="A512" s="5">
        <v>0</v>
      </c>
      <c r="B512" s="6" t="s">
        <v>3196</v>
      </c>
      <c r="C512" s="13">
        <v>944</v>
      </c>
      <c r="D512" s="8" t="s">
        <v>3197</v>
      </c>
      <c r="E512" s="8" t="s">
        <v>3198</v>
      </c>
      <c r="F512" s="8" t="s">
        <v>3199</v>
      </c>
      <c r="G512" s="6" t="s">
        <v>165</v>
      </c>
      <c r="H512" s="6" t="s">
        <v>38</v>
      </c>
      <c r="I512" s="8" t="s">
        <v>173</v>
      </c>
      <c r="J512" s="9">
        <v>1</v>
      </c>
      <c r="K512" s="9">
        <v>207</v>
      </c>
      <c r="L512" s="9">
        <v>2023</v>
      </c>
      <c r="M512" s="8" t="s">
        <v>3200</v>
      </c>
      <c r="N512" s="8" t="s">
        <v>41</v>
      </c>
      <c r="O512" s="8" t="s">
        <v>42</v>
      </c>
      <c r="P512" s="6" t="s">
        <v>77</v>
      </c>
      <c r="Q512" s="8" t="s">
        <v>89</v>
      </c>
      <c r="R512" s="10" t="s">
        <v>1568</v>
      </c>
      <c r="S512" s="11" t="s">
        <v>3201</v>
      </c>
      <c r="T512" s="6"/>
      <c r="U512" s="27" t="str">
        <f>HYPERLINK("https://media.infra-m.ru/2023/2023208/cover/2023208.jpg", "Обложка")</f>
        <v>Обложка</v>
      </c>
      <c r="V512" s="27" t="str">
        <f>HYPERLINK("https://znanium.com/catalog/product/995584", "Ознакомиться")</f>
        <v>Ознакомиться</v>
      </c>
      <c r="W512" s="8" t="s">
        <v>483</v>
      </c>
      <c r="X512" s="6"/>
      <c r="Y512" s="6"/>
      <c r="Z512" s="6"/>
      <c r="AA512" s="6" t="s">
        <v>70</v>
      </c>
    </row>
    <row r="513" spans="1:27" s="4" customFormat="1" ht="51.95" customHeight="1">
      <c r="A513" s="5">
        <v>0</v>
      </c>
      <c r="B513" s="6" t="s">
        <v>3202</v>
      </c>
      <c r="C513" s="7">
        <v>1724.9</v>
      </c>
      <c r="D513" s="8" t="s">
        <v>3203</v>
      </c>
      <c r="E513" s="8" t="s">
        <v>3204</v>
      </c>
      <c r="F513" s="8" t="s">
        <v>3199</v>
      </c>
      <c r="G513" s="6" t="s">
        <v>37</v>
      </c>
      <c r="H513" s="6" t="s">
        <v>1414</v>
      </c>
      <c r="I513" s="8"/>
      <c r="J513" s="9">
        <v>1</v>
      </c>
      <c r="K513" s="9">
        <v>384</v>
      </c>
      <c r="L513" s="9">
        <v>2021</v>
      </c>
      <c r="M513" s="8" t="s">
        <v>3205</v>
      </c>
      <c r="N513" s="8" t="s">
        <v>41</v>
      </c>
      <c r="O513" s="8" t="s">
        <v>42</v>
      </c>
      <c r="P513" s="6" t="s">
        <v>150</v>
      </c>
      <c r="Q513" s="8" t="s">
        <v>89</v>
      </c>
      <c r="R513" s="10" t="s">
        <v>3206</v>
      </c>
      <c r="S513" s="11" t="s">
        <v>3207</v>
      </c>
      <c r="T513" s="6"/>
      <c r="U513" s="27" t="str">
        <f>HYPERLINK("https://media.infra-m.ru/1911/1911820/cover/1911820.jpg", "Обложка")</f>
        <v>Обложка</v>
      </c>
      <c r="V513" s="27" t="str">
        <f>HYPERLINK("https://znanium.com/catalog/product/1118442", "Ознакомиться")</f>
        <v>Ознакомиться</v>
      </c>
      <c r="W513" s="8" t="s">
        <v>483</v>
      </c>
      <c r="X513" s="6"/>
      <c r="Y513" s="6"/>
      <c r="Z513" s="6"/>
      <c r="AA513" s="6" t="s">
        <v>372</v>
      </c>
    </row>
    <row r="514" spans="1:27" s="4" customFormat="1" ht="51.95" customHeight="1">
      <c r="A514" s="5">
        <v>0</v>
      </c>
      <c r="B514" s="6" t="s">
        <v>3208</v>
      </c>
      <c r="C514" s="13">
        <v>960</v>
      </c>
      <c r="D514" s="8" t="s">
        <v>3209</v>
      </c>
      <c r="E514" s="8" t="s">
        <v>3210</v>
      </c>
      <c r="F514" s="8" t="s">
        <v>3199</v>
      </c>
      <c r="G514" s="6" t="s">
        <v>165</v>
      </c>
      <c r="H514" s="6" t="s">
        <v>1414</v>
      </c>
      <c r="I514" s="8"/>
      <c r="J514" s="9">
        <v>1</v>
      </c>
      <c r="K514" s="9">
        <v>384</v>
      </c>
      <c r="L514" s="9">
        <v>2017</v>
      </c>
      <c r="M514" s="8" t="s">
        <v>3211</v>
      </c>
      <c r="N514" s="8" t="s">
        <v>41</v>
      </c>
      <c r="O514" s="8" t="s">
        <v>42</v>
      </c>
      <c r="P514" s="6" t="s">
        <v>150</v>
      </c>
      <c r="Q514" s="8" t="s">
        <v>89</v>
      </c>
      <c r="R514" s="10" t="s">
        <v>3206</v>
      </c>
      <c r="S514" s="11" t="s">
        <v>3207</v>
      </c>
      <c r="T514" s="6"/>
      <c r="U514" s="27" t="str">
        <f>HYPERLINK("https://media.infra-m.ru/0905/0905890/cover/905890.jpg", "Обложка")</f>
        <v>Обложка</v>
      </c>
      <c r="V514" s="27" t="str">
        <f>HYPERLINK("https://znanium.com/catalog/product/1118442", "Ознакомиться")</f>
        <v>Ознакомиться</v>
      </c>
      <c r="W514" s="8" t="s">
        <v>483</v>
      </c>
      <c r="X514" s="6"/>
      <c r="Y514" s="6"/>
      <c r="Z514" s="6"/>
      <c r="AA514" s="6" t="s">
        <v>109</v>
      </c>
    </row>
    <row r="515" spans="1:27" s="4" customFormat="1" ht="51.95" customHeight="1">
      <c r="A515" s="5">
        <v>0</v>
      </c>
      <c r="B515" s="6" t="s">
        <v>3212</v>
      </c>
      <c r="C515" s="13">
        <v>944</v>
      </c>
      <c r="D515" s="8" t="s">
        <v>3213</v>
      </c>
      <c r="E515" s="8" t="s">
        <v>3210</v>
      </c>
      <c r="F515" s="8" t="s">
        <v>3214</v>
      </c>
      <c r="G515" s="6" t="s">
        <v>37</v>
      </c>
      <c r="H515" s="6" t="s">
        <v>38</v>
      </c>
      <c r="I515" s="8" t="s">
        <v>173</v>
      </c>
      <c r="J515" s="9">
        <v>1</v>
      </c>
      <c r="K515" s="9">
        <v>205</v>
      </c>
      <c r="L515" s="9">
        <v>2024</v>
      </c>
      <c r="M515" s="8" t="s">
        <v>3215</v>
      </c>
      <c r="N515" s="8" t="s">
        <v>41</v>
      </c>
      <c r="O515" s="8" t="s">
        <v>42</v>
      </c>
      <c r="P515" s="6" t="s">
        <v>150</v>
      </c>
      <c r="Q515" s="8" t="s">
        <v>89</v>
      </c>
      <c r="R515" s="10" t="s">
        <v>1568</v>
      </c>
      <c r="S515" s="11" t="s">
        <v>3216</v>
      </c>
      <c r="T515" s="6"/>
      <c r="U515" s="27" t="str">
        <f>HYPERLINK("https://media.infra-m.ru/2102/2102692/cover/2102692.jpg", "Обложка")</f>
        <v>Обложка</v>
      </c>
      <c r="V515" s="27" t="str">
        <f>HYPERLINK("https://znanium.com/catalog/product/1255620", "Ознакомиться")</f>
        <v>Ознакомиться</v>
      </c>
      <c r="W515" s="8" t="s">
        <v>3217</v>
      </c>
      <c r="X515" s="6"/>
      <c r="Y515" s="6"/>
      <c r="Z515" s="6"/>
      <c r="AA515" s="6" t="s">
        <v>109</v>
      </c>
    </row>
    <row r="516" spans="1:27" s="4" customFormat="1" ht="44.1" customHeight="1">
      <c r="A516" s="5">
        <v>0</v>
      </c>
      <c r="B516" s="6" t="s">
        <v>3218</v>
      </c>
      <c r="C516" s="7">
        <v>1990</v>
      </c>
      <c r="D516" s="8" t="s">
        <v>3219</v>
      </c>
      <c r="E516" s="8" t="s">
        <v>3220</v>
      </c>
      <c r="F516" s="8" t="s">
        <v>3221</v>
      </c>
      <c r="G516" s="6" t="s">
        <v>37</v>
      </c>
      <c r="H516" s="6" t="s">
        <v>38</v>
      </c>
      <c r="I516" s="8" t="s">
        <v>764</v>
      </c>
      <c r="J516" s="9">
        <v>1</v>
      </c>
      <c r="K516" s="9">
        <v>485</v>
      </c>
      <c r="L516" s="9">
        <v>2023</v>
      </c>
      <c r="M516" s="8" t="s">
        <v>3222</v>
      </c>
      <c r="N516" s="8" t="s">
        <v>41</v>
      </c>
      <c r="O516" s="8" t="s">
        <v>42</v>
      </c>
      <c r="P516" s="6" t="s">
        <v>58</v>
      </c>
      <c r="Q516" s="8" t="s">
        <v>44</v>
      </c>
      <c r="R516" s="10" t="s">
        <v>3223</v>
      </c>
      <c r="S516" s="11"/>
      <c r="T516" s="6"/>
      <c r="U516" s="27" t="str">
        <f>HYPERLINK("https://media.infra-m.ru/1910/1910884/cover/1910884.jpg", "Обложка")</f>
        <v>Обложка</v>
      </c>
      <c r="V516" s="27" t="str">
        <f>HYPERLINK("https://znanium.com/catalog/product/1901313", "Ознакомиться")</f>
        <v>Ознакомиться</v>
      </c>
      <c r="W516" s="8" t="s">
        <v>804</v>
      </c>
      <c r="X516" s="6"/>
      <c r="Y516" s="6"/>
      <c r="Z516" s="6"/>
      <c r="AA516" s="6" t="s">
        <v>61</v>
      </c>
    </row>
    <row r="517" spans="1:27" s="4" customFormat="1" ht="44.1" customHeight="1">
      <c r="A517" s="5">
        <v>0</v>
      </c>
      <c r="B517" s="6" t="s">
        <v>3224</v>
      </c>
      <c r="C517" s="13">
        <v>294</v>
      </c>
      <c r="D517" s="8" t="s">
        <v>3225</v>
      </c>
      <c r="E517" s="8" t="s">
        <v>3226</v>
      </c>
      <c r="F517" s="8" t="s">
        <v>3227</v>
      </c>
      <c r="G517" s="6" t="s">
        <v>53</v>
      </c>
      <c r="H517" s="6" t="s">
        <v>87</v>
      </c>
      <c r="I517" s="8" t="s">
        <v>183</v>
      </c>
      <c r="J517" s="9">
        <v>1</v>
      </c>
      <c r="K517" s="9">
        <v>64</v>
      </c>
      <c r="L517" s="9">
        <v>2024</v>
      </c>
      <c r="M517" s="8" t="s">
        <v>3228</v>
      </c>
      <c r="N517" s="8" t="s">
        <v>41</v>
      </c>
      <c r="O517" s="8" t="s">
        <v>42</v>
      </c>
      <c r="P517" s="6" t="s">
        <v>185</v>
      </c>
      <c r="Q517" s="8" t="s">
        <v>89</v>
      </c>
      <c r="R517" s="10" t="s">
        <v>909</v>
      </c>
      <c r="S517" s="11"/>
      <c r="T517" s="6"/>
      <c r="U517" s="27" t="str">
        <f>HYPERLINK("https://media.infra-m.ru/2059/2059567/cover/2059567.jpg", "Обложка")</f>
        <v>Обложка</v>
      </c>
      <c r="V517" s="12"/>
      <c r="W517" s="8" t="s">
        <v>3229</v>
      </c>
      <c r="X517" s="6"/>
      <c r="Y517" s="6"/>
      <c r="Z517" s="6"/>
      <c r="AA517" s="6" t="s">
        <v>92</v>
      </c>
    </row>
    <row r="518" spans="1:27" s="4" customFormat="1" ht="51.95" customHeight="1">
      <c r="A518" s="5">
        <v>0</v>
      </c>
      <c r="B518" s="6" t="s">
        <v>3230</v>
      </c>
      <c r="C518" s="13">
        <v>570</v>
      </c>
      <c r="D518" s="8" t="s">
        <v>3231</v>
      </c>
      <c r="E518" s="8" t="s">
        <v>3232</v>
      </c>
      <c r="F518" s="8" t="s">
        <v>3233</v>
      </c>
      <c r="G518" s="6" t="s">
        <v>53</v>
      </c>
      <c r="H518" s="6" t="s">
        <v>38</v>
      </c>
      <c r="I518" s="8" t="s">
        <v>183</v>
      </c>
      <c r="J518" s="9">
        <v>1</v>
      </c>
      <c r="K518" s="9">
        <v>120</v>
      </c>
      <c r="L518" s="9">
        <v>2024</v>
      </c>
      <c r="M518" s="8" t="s">
        <v>3234</v>
      </c>
      <c r="N518" s="8" t="s">
        <v>56</v>
      </c>
      <c r="O518" s="8" t="s">
        <v>57</v>
      </c>
      <c r="P518" s="6" t="s">
        <v>77</v>
      </c>
      <c r="Q518" s="8" t="s">
        <v>89</v>
      </c>
      <c r="R518" s="10" t="s">
        <v>1050</v>
      </c>
      <c r="S518" s="11" t="s">
        <v>3235</v>
      </c>
      <c r="T518" s="6" t="s">
        <v>46</v>
      </c>
      <c r="U518" s="27" t="str">
        <f>HYPERLINK("https://media.infra-m.ru/2118/2118170/cover/2118170.jpg", "Обложка")</f>
        <v>Обложка</v>
      </c>
      <c r="V518" s="27" t="str">
        <f>HYPERLINK("https://znanium.com/catalog/product/2118170", "Ознакомиться")</f>
        <v>Ознакомиться</v>
      </c>
      <c r="W518" s="8" t="s">
        <v>3236</v>
      </c>
      <c r="X518" s="6"/>
      <c r="Y518" s="6"/>
      <c r="Z518" s="6"/>
      <c r="AA518" s="6" t="s">
        <v>622</v>
      </c>
    </row>
    <row r="519" spans="1:27" s="4" customFormat="1" ht="51.95" customHeight="1">
      <c r="A519" s="5">
        <v>0</v>
      </c>
      <c r="B519" s="6" t="s">
        <v>3237</v>
      </c>
      <c r="C519" s="13">
        <v>600</v>
      </c>
      <c r="D519" s="8" t="s">
        <v>3238</v>
      </c>
      <c r="E519" s="8" t="s">
        <v>3239</v>
      </c>
      <c r="F519" s="8" t="s">
        <v>3240</v>
      </c>
      <c r="G519" s="6" t="s">
        <v>53</v>
      </c>
      <c r="H519" s="6" t="s">
        <v>608</v>
      </c>
      <c r="I519" s="8" t="s">
        <v>183</v>
      </c>
      <c r="J519" s="9">
        <v>1</v>
      </c>
      <c r="K519" s="9">
        <v>119</v>
      </c>
      <c r="L519" s="9">
        <v>2024</v>
      </c>
      <c r="M519" s="8" t="s">
        <v>3241</v>
      </c>
      <c r="N519" s="8" t="s">
        <v>41</v>
      </c>
      <c r="O519" s="8" t="s">
        <v>42</v>
      </c>
      <c r="P519" s="6" t="s">
        <v>185</v>
      </c>
      <c r="Q519" s="8" t="s">
        <v>316</v>
      </c>
      <c r="R519" s="10" t="s">
        <v>3242</v>
      </c>
      <c r="S519" s="11"/>
      <c r="T519" s="6" t="s">
        <v>46</v>
      </c>
      <c r="U519" s="27" t="str">
        <f>HYPERLINK("https://media.infra-m.ru/2079/2079291/cover/2079291.jpg", "Обложка")</f>
        <v>Обложка</v>
      </c>
      <c r="V519" s="27" t="str">
        <f>HYPERLINK("https://znanium.com/catalog/product/2079291", "Ознакомиться")</f>
        <v>Ознакомиться</v>
      </c>
      <c r="W519" s="8"/>
      <c r="X519" s="6"/>
      <c r="Y519" s="6"/>
      <c r="Z519" s="6"/>
      <c r="AA519" s="6" t="s">
        <v>48</v>
      </c>
    </row>
    <row r="520" spans="1:27" s="4" customFormat="1" ht="51.95" customHeight="1">
      <c r="A520" s="5">
        <v>0</v>
      </c>
      <c r="B520" s="6" t="s">
        <v>3243</v>
      </c>
      <c r="C520" s="13">
        <v>860</v>
      </c>
      <c r="D520" s="8" t="s">
        <v>3244</v>
      </c>
      <c r="E520" s="8" t="s">
        <v>3245</v>
      </c>
      <c r="F520" s="8" t="s">
        <v>3246</v>
      </c>
      <c r="G520" s="6" t="s">
        <v>53</v>
      </c>
      <c r="H520" s="6" t="s">
        <v>38</v>
      </c>
      <c r="I520" s="8" t="s">
        <v>54</v>
      </c>
      <c r="J520" s="9">
        <v>1</v>
      </c>
      <c r="K520" s="9">
        <v>186</v>
      </c>
      <c r="L520" s="9">
        <v>2024</v>
      </c>
      <c r="M520" s="8" t="s">
        <v>3247</v>
      </c>
      <c r="N520" s="8" t="s">
        <v>41</v>
      </c>
      <c r="O520" s="8" t="s">
        <v>42</v>
      </c>
      <c r="P520" s="6" t="s">
        <v>58</v>
      </c>
      <c r="Q520" s="8" t="s">
        <v>44</v>
      </c>
      <c r="R520" s="10" t="s">
        <v>3248</v>
      </c>
      <c r="S520" s="11"/>
      <c r="T520" s="6"/>
      <c r="U520" s="27" t="str">
        <f>HYPERLINK("https://media.infra-m.ru/2113/2113855/cover/2113855.jpg", "Обложка")</f>
        <v>Обложка</v>
      </c>
      <c r="V520" s="27" t="str">
        <f>HYPERLINK("https://znanium.com/catalog/product/2113855", "Ознакомиться")</f>
        <v>Ознакомиться</v>
      </c>
      <c r="W520" s="8" t="s">
        <v>1309</v>
      </c>
      <c r="X520" s="6"/>
      <c r="Y520" s="6"/>
      <c r="Z520" s="6"/>
      <c r="AA520" s="6" t="s">
        <v>83</v>
      </c>
    </row>
    <row r="521" spans="1:27" s="4" customFormat="1" ht="51.95" customHeight="1">
      <c r="A521" s="5">
        <v>0</v>
      </c>
      <c r="B521" s="6" t="s">
        <v>3249</v>
      </c>
      <c r="C521" s="13">
        <v>594.9</v>
      </c>
      <c r="D521" s="8" t="s">
        <v>3250</v>
      </c>
      <c r="E521" s="8" t="s">
        <v>3251</v>
      </c>
      <c r="F521" s="8" t="s">
        <v>3252</v>
      </c>
      <c r="G521" s="6" t="s">
        <v>165</v>
      </c>
      <c r="H521" s="6" t="s">
        <v>861</v>
      </c>
      <c r="I521" s="8" t="s">
        <v>3253</v>
      </c>
      <c r="J521" s="9">
        <v>1</v>
      </c>
      <c r="K521" s="9">
        <v>208</v>
      </c>
      <c r="L521" s="9">
        <v>2018</v>
      </c>
      <c r="M521" s="8" t="s">
        <v>3254</v>
      </c>
      <c r="N521" s="8" t="s">
        <v>56</v>
      </c>
      <c r="O521" s="8" t="s">
        <v>57</v>
      </c>
      <c r="P521" s="6" t="s">
        <v>150</v>
      </c>
      <c r="Q521" s="8" t="s">
        <v>89</v>
      </c>
      <c r="R521" s="10" t="s">
        <v>3255</v>
      </c>
      <c r="S521" s="11" t="s">
        <v>3256</v>
      </c>
      <c r="T521" s="6"/>
      <c r="U521" s="27" t="str">
        <f>HYPERLINK("https://media.infra-m.ru/0929/0929644/cover/929644.jpg", "Обложка")</f>
        <v>Обложка</v>
      </c>
      <c r="V521" s="27" t="str">
        <f>HYPERLINK("https://znanium.com/catalog/product/929644", "Ознакомиться")</f>
        <v>Ознакомиться</v>
      </c>
      <c r="W521" s="8" t="s">
        <v>2031</v>
      </c>
      <c r="X521" s="6"/>
      <c r="Y521" s="6"/>
      <c r="Z521" s="6"/>
      <c r="AA521" s="6" t="s">
        <v>881</v>
      </c>
    </row>
    <row r="522" spans="1:27" s="4" customFormat="1" ht="51.95" customHeight="1">
      <c r="A522" s="5">
        <v>0</v>
      </c>
      <c r="B522" s="6" t="s">
        <v>3257</v>
      </c>
      <c r="C522" s="13">
        <v>364</v>
      </c>
      <c r="D522" s="8" t="s">
        <v>3258</v>
      </c>
      <c r="E522" s="8" t="s">
        <v>3259</v>
      </c>
      <c r="F522" s="8" t="s">
        <v>892</v>
      </c>
      <c r="G522" s="6" t="s">
        <v>53</v>
      </c>
      <c r="H522" s="6" t="s">
        <v>608</v>
      </c>
      <c r="I522" s="8" t="s">
        <v>3260</v>
      </c>
      <c r="J522" s="9">
        <v>1</v>
      </c>
      <c r="K522" s="9">
        <v>112</v>
      </c>
      <c r="L522" s="9">
        <v>2023</v>
      </c>
      <c r="M522" s="8" t="s">
        <v>3261</v>
      </c>
      <c r="N522" s="8" t="s">
        <v>56</v>
      </c>
      <c r="O522" s="8" t="s">
        <v>57</v>
      </c>
      <c r="P522" s="6" t="s">
        <v>77</v>
      </c>
      <c r="Q522" s="8" t="s">
        <v>89</v>
      </c>
      <c r="R522" s="10" t="s">
        <v>3262</v>
      </c>
      <c r="S522" s="11"/>
      <c r="T522" s="6"/>
      <c r="U522" s="27" t="str">
        <f>HYPERLINK("https://media.infra-m.ru/1972/1972664/cover/1972664.jpg", "Обложка")</f>
        <v>Обложка</v>
      </c>
      <c r="V522" s="12"/>
      <c r="W522" s="8" t="s">
        <v>896</v>
      </c>
      <c r="X522" s="6"/>
      <c r="Y522" s="6"/>
      <c r="Z522" s="6"/>
      <c r="AA522" s="6" t="s">
        <v>3263</v>
      </c>
    </row>
    <row r="523" spans="1:27" s="4" customFormat="1" ht="51.95" customHeight="1">
      <c r="A523" s="5">
        <v>0</v>
      </c>
      <c r="B523" s="6" t="s">
        <v>3264</v>
      </c>
      <c r="C523" s="7">
        <v>1460</v>
      </c>
      <c r="D523" s="8" t="s">
        <v>3265</v>
      </c>
      <c r="E523" s="8" t="s">
        <v>3266</v>
      </c>
      <c r="F523" s="8" t="s">
        <v>3267</v>
      </c>
      <c r="G523" s="6" t="s">
        <v>37</v>
      </c>
      <c r="H523" s="6" t="s">
        <v>38</v>
      </c>
      <c r="I523" s="8" t="s">
        <v>183</v>
      </c>
      <c r="J523" s="9">
        <v>1</v>
      </c>
      <c r="K523" s="9">
        <v>317</v>
      </c>
      <c r="L523" s="9">
        <v>2024</v>
      </c>
      <c r="M523" s="8" t="s">
        <v>3268</v>
      </c>
      <c r="N523" s="8" t="s">
        <v>56</v>
      </c>
      <c r="O523" s="8" t="s">
        <v>57</v>
      </c>
      <c r="P523" s="6" t="s">
        <v>150</v>
      </c>
      <c r="Q523" s="8" t="s">
        <v>89</v>
      </c>
      <c r="R523" s="10" t="s">
        <v>2376</v>
      </c>
      <c r="S523" s="11" t="s">
        <v>3269</v>
      </c>
      <c r="T523" s="6" t="s">
        <v>46</v>
      </c>
      <c r="U523" s="27" t="str">
        <f>HYPERLINK("https://media.infra-m.ru/2107/2107434/cover/2107434.jpg", "Обложка")</f>
        <v>Обложка</v>
      </c>
      <c r="V523" s="27" t="str">
        <f>HYPERLINK("https://znanium.com/catalog/product/2107434", "Ознакомиться")</f>
        <v>Ознакомиться</v>
      </c>
      <c r="W523" s="8" t="s">
        <v>1309</v>
      </c>
      <c r="X523" s="6"/>
      <c r="Y523" s="6"/>
      <c r="Z523" s="6"/>
      <c r="AA523" s="6" t="s">
        <v>83</v>
      </c>
    </row>
    <row r="524" spans="1:27" s="4" customFormat="1" ht="51.95" customHeight="1">
      <c r="A524" s="5">
        <v>0</v>
      </c>
      <c r="B524" s="6" t="s">
        <v>3270</v>
      </c>
      <c r="C524" s="13">
        <v>810</v>
      </c>
      <c r="D524" s="8" t="s">
        <v>3271</v>
      </c>
      <c r="E524" s="8" t="s">
        <v>3272</v>
      </c>
      <c r="F524" s="8" t="s">
        <v>3273</v>
      </c>
      <c r="G524" s="6" t="s">
        <v>165</v>
      </c>
      <c r="H524" s="6" t="s">
        <v>38</v>
      </c>
      <c r="I524" s="8" t="s">
        <v>173</v>
      </c>
      <c r="J524" s="9">
        <v>1</v>
      </c>
      <c r="K524" s="9">
        <v>207</v>
      </c>
      <c r="L524" s="9">
        <v>2022</v>
      </c>
      <c r="M524" s="8" t="s">
        <v>3274</v>
      </c>
      <c r="N524" s="8" t="s">
        <v>56</v>
      </c>
      <c r="O524" s="8" t="s">
        <v>57</v>
      </c>
      <c r="P524" s="6" t="s">
        <v>77</v>
      </c>
      <c r="Q524" s="8" t="s">
        <v>89</v>
      </c>
      <c r="R524" s="10" t="s">
        <v>611</v>
      </c>
      <c r="S524" s="11" t="s">
        <v>3275</v>
      </c>
      <c r="T524" s="6"/>
      <c r="U524" s="27" t="str">
        <f>HYPERLINK("https://media.infra-m.ru/1225/1225037/cover/1225037.jpg", "Обложка")</f>
        <v>Обложка</v>
      </c>
      <c r="V524" s="27" t="str">
        <f>HYPERLINK("https://znanium.com/catalog/product/1225037", "Ознакомиться")</f>
        <v>Ознакомиться</v>
      </c>
      <c r="W524" s="8" t="s">
        <v>1160</v>
      </c>
      <c r="X524" s="6"/>
      <c r="Y524" s="6"/>
      <c r="Z524" s="6"/>
      <c r="AA524" s="6" t="s">
        <v>70</v>
      </c>
    </row>
    <row r="525" spans="1:27" s="4" customFormat="1" ht="51.95" customHeight="1">
      <c r="A525" s="5">
        <v>0</v>
      </c>
      <c r="B525" s="6" t="s">
        <v>3276</v>
      </c>
      <c r="C525" s="13">
        <v>600</v>
      </c>
      <c r="D525" s="8" t="s">
        <v>3277</v>
      </c>
      <c r="E525" s="8" t="s">
        <v>3278</v>
      </c>
      <c r="F525" s="8" t="s">
        <v>3279</v>
      </c>
      <c r="G525" s="6" t="s">
        <v>165</v>
      </c>
      <c r="H525" s="6" t="s">
        <v>87</v>
      </c>
      <c r="I525" s="8" t="s">
        <v>75</v>
      </c>
      <c r="J525" s="9">
        <v>1</v>
      </c>
      <c r="K525" s="9">
        <v>176</v>
      </c>
      <c r="L525" s="9">
        <v>2020</v>
      </c>
      <c r="M525" s="8" t="s">
        <v>3280</v>
      </c>
      <c r="N525" s="8" t="s">
        <v>41</v>
      </c>
      <c r="O525" s="8" t="s">
        <v>42</v>
      </c>
      <c r="P525" s="6" t="s">
        <v>77</v>
      </c>
      <c r="Q525" s="8" t="s">
        <v>78</v>
      </c>
      <c r="R525" s="10" t="s">
        <v>3281</v>
      </c>
      <c r="S525" s="11" t="s">
        <v>3282</v>
      </c>
      <c r="T525" s="6"/>
      <c r="U525" s="27" t="str">
        <f>HYPERLINK("https://media.infra-m.ru/1080/1080407/cover/1080407.jpg", "Обложка")</f>
        <v>Обложка</v>
      </c>
      <c r="V525" s="27" t="str">
        <f>HYPERLINK("https://znanium.com/catalog/product/1080407", "Ознакомиться")</f>
        <v>Ознакомиться</v>
      </c>
      <c r="W525" s="8" t="s">
        <v>3229</v>
      </c>
      <c r="X525" s="6"/>
      <c r="Y525" s="6"/>
      <c r="Z525" s="6" t="s">
        <v>82</v>
      </c>
      <c r="AA525" s="6" t="s">
        <v>136</v>
      </c>
    </row>
    <row r="526" spans="1:27" s="4" customFormat="1" ht="44.1" customHeight="1">
      <c r="A526" s="5">
        <v>0</v>
      </c>
      <c r="B526" s="6" t="s">
        <v>3283</v>
      </c>
      <c r="C526" s="13">
        <v>794.9</v>
      </c>
      <c r="D526" s="8" t="s">
        <v>3284</v>
      </c>
      <c r="E526" s="8" t="s">
        <v>3278</v>
      </c>
      <c r="F526" s="8" t="s">
        <v>3285</v>
      </c>
      <c r="G526" s="6" t="s">
        <v>53</v>
      </c>
      <c r="H526" s="6" t="s">
        <v>87</v>
      </c>
      <c r="I526" s="8" t="s">
        <v>183</v>
      </c>
      <c r="J526" s="9">
        <v>1</v>
      </c>
      <c r="K526" s="9">
        <v>176</v>
      </c>
      <c r="L526" s="9">
        <v>2023</v>
      </c>
      <c r="M526" s="8" t="s">
        <v>3286</v>
      </c>
      <c r="N526" s="8" t="s">
        <v>41</v>
      </c>
      <c r="O526" s="8" t="s">
        <v>42</v>
      </c>
      <c r="P526" s="6" t="s">
        <v>77</v>
      </c>
      <c r="Q526" s="8" t="s">
        <v>89</v>
      </c>
      <c r="R526" s="10" t="s">
        <v>3287</v>
      </c>
      <c r="S526" s="11"/>
      <c r="T526" s="6"/>
      <c r="U526" s="27" t="str">
        <f>HYPERLINK("https://media.infra-m.ru/2002/2002566/cover/2002566.jpg", "Обложка")</f>
        <v>Обложка</v>
      </c>
      <c r="V526" s="12"/>
      <c r="W526" s="8" t="s">
        <v>3229</v>
      </c>
      <c r="X526" s="6"/>
      <c r="Y526" s="6"/>
      <c r="Z526" s="6"/>
      <c r="AA526" s="6" t="s">
        <v>92</v>
      </c>
    </row>
    <row r="527" spans="1:27" s="4" customFormat="1" ht="51.95" customHeight="1">
      <c r="A527" s="5">
        <v>0</v>
      </c>
      <c r="B527" s="6" t="s">
        <v>3288</v>
      </c>
      <c r="C527" s="13">
        <v>424</v>
      </c>
      <c r="D527" s="8" t="s">
        <v>3289</v>
      </c>
      <c r="E527" s="8" t="s">
        <v>3290</v>
      </c>
      <c r="F527" s="8" t="s">
        <v>3291</v>
      </c>
      <c r="G527" s="6" t="s">
        <v>53</v>
      </c>
      <c r="H527" s="6" t="s">
        <v>38</v>
      </c>
      <c r="I527" s="8" t="s">
        <v>54</v>
      </c>
      <c r="J527" s="9">
        <v>1</v>
      </c>
      <c r="K527" s="9">
        <v>87</v>
      </c>
      <c r="L527" s="9">
        <v>2024</v>
      </c>
      <c r="M527" s="8" t="s">
        <v>3292</v>
      </c>
      <c r="N527" s="8" t="s">
        <v>41</v>
      </c>
      <c r="O527" s="8" t="s">
        <v>42</v>
      </c>
      <c r="P527" s="6" t="s">
        <v>58</v>
      </c>
      <c r="Q527" s="8" t="s">
        <v>44</v>
      </c>
      <c r="R527" s="10" t="s">
        <v>3293</v>
      </c>
      <c r="S527" s="11"/>
      <c r="T527" s="6"/>
      <c r="U527" s="27" t="str">
        <f>HYPERLINK("https://media.infra-m.ru/2094/2094499/cover/2094499.jpg", "Обложка")</f>
        <v>Обложка</v>
      </c>
      <c r="V527" s="27" t="str">
        <f>HYPERLINK("https://znanium.com/catalog/product/1947371", "Ознакомиться")</f>
        <v>Ознакомиться</v>
      </c>
      <c r="W527" s="8" t="s">
        <v>2879</v>
      </c>
      <c r="X527" s="6"/>
      <c r="Y527" s="6"/>
      <c r="Z527" s="6"/>
      <c r="AA527" s="6" t="s">
        <v>101</v>
      </c>
    </row>
    <row r="528" spans="1:27" s="14" customFormat="1" ht="21.95" customHeight="1"/>
    <row r="529" spans="1:5" ht="15.95" customHeight="1">
      <c r="A529" s="24" t="s">
        <v>23</v>
      </c>
      <c r="B529" s="24"/>
    </row>
    <row r="530" spans="1:5" s="15" customFormat="1" ht="12.95" customHeight="1"/>
    <row r="531" spans="1:5" s="15" customFormat="1" ht="12.95" customHeight="1">
      <c r="A531" s="25" t="s">
        <v>3294</v>
      </c>
      <c r="B531" s="25"/>
      <c r="C531" s="25" t="s">
        <v>3295</v>
      </c>
      <c r="D531" s="25"/>
      <c r="E531" s="25"/>
    </row>
    <row r="532" spans="1:5" s="15" customFormat="1" ht="12.95" customHeight="1">
      <c r="A532" s="25" t="s">
        <v>3294</v>
      </c>
      <c r="B532" s="25"/>
      <c r="C532" s="25" t="s">
        <v>3295</v>
      </c>
      <c r="D532" s="25"/>
      <c r="E532" s="25"/>
    </row>
    <row r="533" spans="1:5" s="15" customFormat="1" ht="12.95" customHeight="1">
      <c r="A533" s="25" t="s">
        <v>3296</v>
      </c>
      <c r="B533" s="25"/>
      <c r="C533" s="25" t="s">
        <v>3297</v>
      </c>
      <c r="D533" s="25"/>
      <c r="E533" s="25"/>
    </row>
    <row r="534" spans="1:5" s="15" customFormat="1" ht="12.95" customHeight="1">
      <c r="A534" s="25" t="s">
        <v>3298</v>
      </c>
      <c r="B534" s="25"/>
      <c r="C534" s="25" t="s">
        <v>3299</v>
      </c>
      <c r="D534" s="25"/>
      <c r="E534" s="25"/>
    </row>
    <row r="535" spans="1:5" s="15" customFormat="1" ht="12.95" customHeight="1">
      <c r="A535" s="25" t="s">
        <v>1777</v>
      </c>
      <c r="B535" s="25"/>
      <c r="C535" s="25" t="s">
        <v>3297</v>
      </c>
      <c r="D535" s="25"/>
      <c r="E535" s="25"/>
    </row>
    <row r="536" spans="1:5" s="15" customFormat="1" ht="12.95" customHeight="1">
      <c r="A536" s="25" t="s">
        <v>3300</v>
      </c>
      <c r="B536" s="25"/>
      <c r="C536" s="25" t="s">
        <v>3301</v>
      </c>
      <c r="D536" s="25"/>
      <c r="E536" s="25"/>
    </row>
    <row r="537" spans="1:5" s="15" customFormat="1" ht="12.95" customHeight="1">
      <c r="A537" s="25" t="s">
        <v>3302</v>
      </c>
      <c r="B537" s="25"/>
      <c r="C537" s="25" t="s">
        <v>3303</v>
      </c>
      <c r="D537" s="25"/>
      <c r="E537" s="25"/>
    </row>
    <row r="538" spans="1:5" s="15" customFormat="1" ht="12.95" customHeight="1">
      <c r="A538" s="25" t="s">
        <v>3304</v>
      </c>
      <c r="B538" s="25"/>
      <c r="C538" s="25" t="s">
        <v>3305</v>
      </c>
      <c r="D538" s="25"/>
      <c r="E538" s="25"/>
    </row>
    <row r="539" spans="1:5" s="15" customFormat="1" ht="12.95" customHeight="1">
      <c r="A539" s="25" t="s">
        <v>3306</v>
      </c>
      <c r="B539" s="25"/>
      <c r="C539" s="25" t="s">
        <v>3307</v>
      </c>
      <c r="D539" s="25"/>
      <c r="E539" s="25"/>
    </row>
    <row r="540" spans="1:5" s="15" customFormat="1" ht="12.95" customHeight="1">
      <c r="A540" s="25" t="s">
        <v>3308</v>
      </c>
      <c r="B540" s="25"/>
      <c r="C540" s="25" t="s">
        <v>3307</v>
      </c>
      <c r="D540" s="25"/>
      <c r="E540" s="25"/>
    </row>
    <row r="541" spans="1:5" s="15" customFormat="1" ht="12.95" customHeight="1">
      <c r="A541" s="25" t="s">
        <v>3309</v>
      </c>
      <c r="B541" s="25"/>
      <c r="C541" s="25" t="s">
        <v>3310</v>
      </c>
      <c r="D541" s="25"/>
      <c r="E541" s="25"/>
    </row>
    <row r="542" spans="1:5" s="15" customFormat="1" ht="12.95" customHeight="1">
      <c r="A542" s="25" t="s">
        <v>3311</v>
      </c>
      <c r="B542" s="25"/>
      <c r="C542" s="25" t="s">
        <v>3305</v>
      </c>
      <c r="D542" s="25"/>
      <c r="E542" s="25"/>
    </row>
    <row r="543" spans="1:5" s="15" customFormat="1" ht="12.95" customHeight="1">
      <c r="A543" s="25" t="s">
        <v>3312</v>
      </c>
      <c r="B543" s="25"/>
      <c r="C543" s="25" t="s">
        <v>3307</v>
      </c>
      <c r="D543" s="25"/>
      <c r="E543" s="25"/>
    </row>
    <row r="544" spans="1:5" s="15" customFormat="1" ht="12.95" customHeight="1">
      <c r="A544" s="25" t="s">
        <v>1438</v>
      </c>
      <c r="B544" s="25"/>
      <c r="C544" s="25" t="s">
        <v>3313</v>
      </c>
      <c r="D544" s="25"/>
      <c r="E544" s="25"/>
    </row>
    <row r="545" spans="1:5" s="15" customFormat="1" ht="12.95" customHeight="1">
      <c r="A545" s="25" t="s">
        <v>3314</v>
      </c>
      <c r="B545" s="25"/>
      <c r="C545" s="25" t="s">
        <v>3315</v>
      </c>
      <c r="D545" s="25"/>
      <c r="E545" s="25"/>
    </row>
    <row r="546" spans="1:5" s="15" customFormat="1" ht="12.95" customHeight="1">
      <c r="A546" s="25" t="s">
        <v>3316</v>
      </c>
      <c r="B546" s="25"/>
      <c r="C546" s="25" t="s">
        <v>3317</v>
      </c>
      <c r="D546" s="25"/>
      <c r="E546" s="25"/>
    </row>
    <row r="547" spans="1:5" s="15" customFormat="1" ht="12.95" customHeight="1">
      <c r="A547" s="25" t="s">
        <v>3318</v>
      </c>
      <c r="B547" s="25"/>
      <c r="C547" s="25" t="s">
        <v>3319</v>
      </c>
      <c r="D547" s="25"/>
      <c r="E547" s="25"/>
    </row>
    <row r="548" spans="1:5" s="15" customFormat="1" ht="12.95" customHeight="1">
      <c r="A548" s="25" t="s">
        <v>3320</v>
      </c>
      <c r="B548" s="25"/>
      <c r="C548" s="25" t="s">
        <v>3321</v>
      </c>
      <c r="D548" s="25"/>
      <c r="E548" s="25"/>
    </row>
    <row r="549" spans="1:5" s="15" customFormat="1" ht="12.95" customHeight="1">
      <c r="A549" s="25" t="s">
        <v>3322</v>
      </c>
      <c r="B549" s="25"/>
      <c r="C549" s="25" t="s">
        <v>3321</v>
      </c>
      <c r="D549" s="25"/>
      <c r="E549" s="25"/>
    </row>
    <row r="550" spans="1:5" s="15" customFormat="1" ht="12.95" customHeight="1">
      <c r="A550" s="25" t="s">
        <v>3323</v>
      </c>
      <c r="B550" s="25"/>
      <c r="C550" s="25" t="s">
        <v>3324</v>
      </c>
      <c r="D550" s="25"/>
      <c r="E550" s="25"/>
    </row>
    <row r="551" spans="1:5" s="15" customFormat="1" ht="12.95" customHeight="1">
      <c r="A551" s="25" t="s">
        <v>3325</v>
      </c>
      <c r="B551" s="25"/>
      <c r="C551" s="25" t="s">
        <v>3326</v>
      </c>
      <c r="D551" s="25"/>
      <c r="E551" s="25"/>
    </row>
    <row r="552" spans="1:5" s="15" customFormat="1" ht="12.95" customHeight="1">
      <c r="A552" s="25" t="s">
        <v>3327</v>
      </c>
      <c r="B552" s="25"/>
      <c r="C552" s="25" t="s">
        <v>3328</v>
      </c>
      <c r="D552" s="25"/>
      <c r="E552" s="25"/>
    </row>
    <row r="553" spans="1:5" s="15" customFormat="1" ht="12.95" customHeight="1">
      <c r="A553" s="25" t="s">
        <v>3329</v>
      </c>
      <c r="B553" s="25"/>
      <c r="C553" s="25" t="s">
        <v>3330</v>
      </c>
      <c r="D553" s="25"/>
      <c r="E553" s="25"/>
    </row>
    <row r="554" spans="1:5" s="15" customFormat="1" ht="12.95" customHeight="1">
      <c r="A554" s="25" t="s">
        <v>3331</v>
      </c>
      <c r="B554" s="25"/>
      <c r="C554" s="25" t="s">
        <v>3330</v>
      </c>
      <c r="D554" s="25"/>
      <c r="E554" s="25"/>
    </row>
    <row r="555" spans="1:5" s="15" customFormat="1" ht="12.95" customHeight="1">
      <c r="A555" s="25" t="s">
        <v>3332</v>
      </c>
      <c r="B555" s="25"/>
      <c r="C555" s="25" t="s">
        <v>3333</v>
      </c>
      <c r="D555" s="25"/>
      <c r="E555" s="25"/>
    </row>
    <row r="556" spans="1:5" s="15" customFormat="1" ht="12.95" customHeight="1">
      <c r="A556" s="25" t="s">
        <v>3334</v>
      </c>
      <c r="B556" s="25"/>
      <c r="C556" s="25" t="s">
        <v>3335</v>
      </c>
      <c r="D556" s="25"/>
      <c r="E556" s="25"/>
    </row>
    <row r="557" spans="1:5" s="15" customFormat="1" ht="12.95" customHeight="1">
      <c r="A557" s="25" t="s">
        <v>3336</v>
      </c>
      <c r="B557" s="25"/>
      <c r="C557" s="25" t="s">
        <v>3337</v>
      </c>
      <c r="D557" s="25"/>
      <c r="E557" s="25"/>
    </row>
    <row r="558" spans="1:5" s="15" customFormat="1" ht="12.95" customHeight="1">
      <c r="A558" s="25" t="s">
        <v>3338</v>
      </c>
      <c r="B558" s="25"/>
      <c r="C558" s="25" t="s">
        <v>3339</v>
      </c>
      <c r="D558" s="25"/>
      <c r="E558" s="25"/>
    </row>
    <row r="559" spans="1:5" s="15" customFormat="1" ht="12.95" customHeight="1">
      <c r="A559" s="25" t="s">
        <v>3340</v>
      </c>
      <c r="B559" s="25"/>
      <c r="C559" s="25" t="s">
        <v>3341</v>
      </c>
      <c r="D559" s="25"/>
      <c r="E559" s="25"/>
    </row>
    <row r="560" spans="1:5" s="15" customFormat="1" ht="12.95" customHeight="1">
      <c r="A560" s="25" t="s">
        <v>3342</v>
      </c>
      <c r="B560" s="25"/>
      <c r="C560" s="25" t="s">
        <v>3343</v>
      </c>
      <c r="D560" s="25"/>
      <c r="E560" s="25"/>
    </row>
    <row r="561" spans="1:5" s="15" customFormat="1" ht="12.95" customHeight="1">
      <c r="A561" s="25" t="s">
        <v>3344</v>
      </c>
      <c r="B561" s="25"/>
      <c r="C561" s="25" t="s">
        <v>3345</v>
      </c>
      <c r="D561" s="25"/>
      <c r="E561" s="25"/>
    </row>
    <row r="562" spans="1:5" s="15" customFormat="1" ht="12.95" customHeight="1">
      <c r="A562" s="25" t="s">
        <v>3346</v>
      </c>
      <c r="B562" s="25"/>
      <c r="C562" s="25" t="s">
        <v>3343</v>
      </c>
      <c r="D562" s="25"/>
      <c r="E562" s="25"/>
    </row>
    <row r="563" spans="1:5" s="15" customFormat="1" ht="12.95" customHeight="1">
      <c r="A563" s="25" t="s">
        <v>3347</v>
      </c>
      <c r="B563" s="25"/>
      <c r="C563" s="25" t="s">
        <v>3348</v>
      </c>
      <c r="D563" s="25"/>
      <c r="E563" s="25"/>
    </row>
    <row r="564" spans="1:5" s="15" customFormat="1" ht="12.95" customHeight="1">
      <c r="A564" s="25" t="s">
        <v>3349</v>
      </c>
      <c r="B564" s="25"/>
      <c r="C564" s="25" t="s">
        <v>3348</v>
      </c>
      <c r="D564" s="25"/>
      <c r="E564" s="25"/>
    </row>
    <row r="565" spans="1:5" s="15" customFormat="1" ht="12.95" customHeight="1">
      <c r="A565" s="25" t="s">
        <v>3350</v>
      </c>
      <c r="B565" s="25"/>
      <c r="C565" s="25" t="s">
        <v>3351</v>
      </c>
      <c r="D565" s="25"/>
      <c r="E565" s="25"/>
    </row>
    <row r="566" spans="1:5" s="15" customFormat="1" ht="12.95" customHeight="1">
      <c r="A566" s="25" t="s">
        <v>3352</v>
      </c>
      <c r="B566" s="25"/>
      <c r="C566" s="25" t="s">
        <v>3353</v>
      </c>
      <c r="D566" s="25"/>
      <c r="E566" s="25"/>
    </row>
    <row r="567" spans="1:5" s="15" customFormat="1" ht="12.95" customHeight="1">
      <c r="A567" s="25" t="s">
        <v>3354</v>
      </c>
      <c r="B567" s="25"/>
      <c r="C567" s="25" t="s">
        <v>3353</v>
      </c>
      <c r="D567" s="25"/>
      <c r="E567" s="25"/>
    </row>
    <row r="568" spans="1:5" s="15" customFormat="1" ht="12.95" customHeight="1">
      <c r="A568" s="25" t="s">
        <v>3355</v>
      </c>
      <c r="B568" s="25"/>
      <c r="C568" s="25" t="s">
        <v>3353</v>
      </c>
      <c r="D568" s="25"/>
      <c r="E568" s="25"/>
    </row>
    <row r="569" spans="1:5" s="15" customFormat="1" ht="12.95" customHeight="1">
      <c r="A569" s="25" t="s">
        <v>3356</v>
      </c>
      <c r="B569" s="25"/>
      <c r="C569" s="25" t="s">
        <v>3353</v>
      </c>
      <c r="D569" s="25"/>
      <c r="E569" s="25"/>
    </row>
    <row r="570" spans="1:5" s="15" customFormat="1" ht="12.95" customHeight="1">
      <c r="A570" s="25" t="s">
        <v>3357</v>
      </c>
      <c r="B570" s="25"/>
      <c r="C570" s="25" t="s">
        <v>3358</v>
      </c>
      <c r="D570" s="25"/>
      <c r="E570" s="25"/>
    </row>
    <row r="571" spans="1:5" s="15" customFormat="1" ht="12.95" customHeight="1">
      <c r="A571" s="25" t="s">
        <v>3359</v>
      </c>
      <c r="B571" s="25"/>
      <c r="C571" s="25" t="s">
        <v>3360</v>
      </c>
      <c r="D571" s="25"/>
      <c r="E571" s="25"/>
    </row>
    <row r="572" spans="1:5" s="15" customFormat="1" ht="12.95" customHeight="1">
      <c r="A572" s="25" t="s">
        <v>3361</v>
      </c>
      <c r="B572" s="25"/>
      <c r="C572" s="25" t="s">
        <v>3362</v>
      </c>
      <c r="D572" s="25"/>
      <c r="E572" s="25"/>
    </row>
    <row r="573" spans="1:5" s="15" customFormat="1" ht="12.95" customHeight="1">
      <c r="A573" s="25" t="s">
        <v>3363</v>
      </c>
      <c r="B573" s="25"/>
      <c r="C573" s="25" t="s">
        <v>3364</v>
      </c>
      <c r="D573" s="25"/>
      <c r="E573" s="25"/>
    </row>
    <row r="574" spans="1:5" s="15" customFormat="1" ht="12.95" customHeight="1">
      <c r="A574" s="25" t="s">
        <v>3365</v>
      </c>
      <c r="B574" s="25"/>
      <c r="C574" s="25" t="s">
        <v>3366</v>
      </c>
      <c r="D574" s="25"/>
      <c r="E574" s="25"/>
    </row>
    <row r="575" spans="1:5" s="15" customFormat="1" ht="12.95" customHeight="1">
      <c r="A575" s="25" t="s">
        <v>3367</v>
      </c>
      <c r="B575" s="25"/>
      <c r="C575" s="25" t="s">
        <v>3368</v>
      </c>
      <c r="D575" s="25"/>
      <c r="E575" s="25"/>
    </row>
    <row r="576" spans="1:5" s="15" customFormat="1" ht="12.95" customHeight="1">
      <c r="A576" s="25" t="s">
        <v>3369</v>
      </c>
      <c r="B576" s="25"/>
      <c r="C576" s="25" t="s">
        <v>3370</v>
      </c>
      <c r="D576" s="25"/>
      <c r="E576" s="25"/>
    </row>
    <row r="577" spans="1:5" s="15" customFormat="1" ht="12.95" customHeight="1">
      <c r="A577" s="25" t="s">
        <v>3371</v>
      </c>
      <c r="B577" s="25"/>
      <c r="C577" s="25" t="s">
        <v>3372</v>
      </c>
      <c r="D577" s="25"/>
      <c r="E577" s="25"/>
    </row>
    <row r="578" spans="1:5" s="15" customFormat="1" ht="12.95" customHeight="1">
      <c r="A578" s="25" t="s">
        <v>3373</v>
      </c>
      <c r="B578" s="25"/>
      <c r="C578" s="25" t="s">
        <v>3374</v>
      </c>
      <c r="D578" s="25"/>
      <c r="E578" s="25"/>
    </row>
    <row r="579" spans="1:5" s="15" customFormat="1" ht="12.95" customHeight="1">
      <c r="A579" s="25" t="s">
        <v>3375</v>
      </c>
      <c r="B579" s="25"/>
      <c r="C579" s="25" t="s">
        <v>3376</v>
      </c>
      <c r="D579" s="25"/>
      <c r="E579" s="25"/>
    </row>
    <row r="580" spans="1:5" s="15" customFormat="1" ht="12.95" customHeight="1">
      <c r="A580" s="25" t="s">
        <v>3377</v>
      </c>
      <c r="B580" s="25"/>
      <c r="C580" s="25" t="s">
        <v>3378</v>
      </c>
      <c r="D580" s="25"/>
      <c r="E580" s="25"/>
    </row>
    <row r="581" spans="1:5" s="15" customFormat="1" ht="12.95" customHeight="1">
      <c r="A581" s="25" t="s">
        <v>3379</v>
      </c>
      <c r="B581" s="25"/>
      <c r="C581" s="25" t="s">
        <v>3380</v>
      </c>
      <c r="D581" s="25"/>
      <c r="E581" s="25"/>
    </row>
    <row r="582" spans="1:5" s="15" customFormat="1" ht="12.95" customHeight="1">
      <c r="A582" s="25" t="s">
        <v>3381</v>
      </c>
      <c r="B582" s="25"/>
      <c r="C582" s="25" t="s">
        <v>3382</v>
      </c>
      <c r="D582" s="25"/>
      <c r="E582" s="25"/>
    </row>
    <row r="583" spans="1:5" s="15" customFormat="1" ht="12.95" customHeight="1">
      <c r="A583" s="25" t="s">
        <v>3383</v>
      </c>
      <c r="B583" s="25"/>
      <c r="C583" s="25" t="s">
        <v>3384</v>
      </c>
      <c r="D583" s="25"/>
      <c r="E583" s="25"/>
    </row>
    <row r="584" spans="1:5" s="15" customFormat="1" ht="12.95" customHeight="1">
      <c r="A584" s="25" t="s">
        <v>3385</v>
      </c>
      <c r="B584" s="25"/>
      <c r="C584" s="25" t="s">
        <v>3386</v>
      </c>
      <c r="D584" s="25"/>
      <c r="E584" s="25"/>
    </row>
    <row r="585" spans="1:5" s="15" customFormat="1" ht="12.95" customHeight="1">
      <c r="A585" s="25" t="s">
        <v>3387</v>
      </c>
      <c r="B585" s="25"/>
      <c r="C585" s="25" t="s">
        <v>3388</v>
      </c>
      <c r="D585" s="25"/>
      <c r="E585" s="25"/>
    </row>
    <row r="586" spans="1:5" s="15" customFormat="1" ht="12.95" customHeight="1">
      <c r="A586" s="25" t="s">
        <v>3389</v>
      </c>
      <c r="B586" s="25"/>
      <c r="C586" s="25" t="s">
        <v>3390</v>
      </c>
      <c r="D586" s="25"/>
      <c r="E586" s="25"/>
    </row>
    <row r="587" spans="1:5" s="15" customFormat="1" ht="12.95" customHeight="1">
      <c r="A587" s="25" t="s">
        <v>3391</v>
      </c>
      <c r="B587" s="25"/>
      <c r="C587" s="25" t="s">
        <v>3392</v>
      </c>
      <c r="D587" s="25"/>
      <c r="E587" s="25"/>
    </row>
    <row r="588" spans="1:5" s="15" customFormat="1" ht="12.95" customHeight="1">
      <c r="A588" s="25" t="s">
        <v>3393</v>
      </c>
      <c r="B588" s="25"/>
      <c r="C588" s="25" t="s">
        <v>3394</v>
      </c>
      <c r="D588" s="25"/>
      <c r="E588" s="25"/>
    </row>
    <row r="589" spans="1:5" s="15" customFormat="1" ht="12.95" customHeight="1">
      <c r="A589" s="25" t="s">
        <v>3395</v>
      </c>
      <c r="B589" s="25"/>
      <c r="C589" s="25" t="s">
        <v>3396</v>
      </c>
      <c r="D589" s="25"/>
      <c r="E589" s="25"/>
    </row>
    <row r="590" spans="1:5" s="15" customFormat="1" ht="12.95" customHeight="1">
      <c r="A590" s="25" t="s">
        <v>3397</v>
      </c>
      <c r="B590" s="25"/>
      <c r="C590" s="25" t="s">
        <v>3398</v>
      </c>
      <c r="D590" s="25"/>
      <c r="E590" s="25"/>
    </row>
    <row r="591" spans="1:5" s="15" customFormat="1" ht="12.95" customHeight="1">
      <c r="A591" s="25" t="s">
        <v>3399</v>
      </c>
      <c r="B591" s="25"/>
      <c r="C591" s="25" t="s">
        <v>3400</v>
      </c>
      <c r="D591" s="25"/>
      <c r="E591" s="25"/>
    </row>
    <row r="592" spans="1:5" s="15" customFormat="1" ht="12.95" customHeight="1">
      <c r="A592" s="25" t="s">
        <v>3401</v>
      </c>
      <c r="B592" s="25"/>
      <c r="C592" s="25" t="s">
        <v>3402</v>
      </c>
      <c r="D592" s="25"/>
      <c r="E592" s="25"/>
    </row>
    <row r="593" spans="1:5" s="15" customFormat="1" ht="12.95" customHeight="1">
      <c r="A593" s="25" t="s">
        <v>3403</v>
      </c>
      <c r="B593" s="25"/>
      <c r="C593" s="25" t="s">
        <v>3404</v>
      </c>
      <c r="D593" s="25"/>
      <c r="E593" s="25"/>
    </row>
    <row r="594" spans="1:5" s="15" customFormat="1" ht="12.95" customHeight="1">
      <c r="A594" s="25" t="s">
        <v>3405</v>
      </c>
      <c r="B594" s="25"/>
      <c r="C594" s="25" t="s">
        <v>3406</v>
      </c>
      <c r="D594" s="25"/>
      <c r="E594" s="25"/>
    </row>
    <row r="595" spans="1:5" s="15" customFormat="1" ht="12.95" customHeight="1">
      <c r="A595" s="25" t="s">
        <v>3407</v>
      </c>
      <c r="B595" s="25"/>
      <c r="C595" s="25" t="s">
        <v>3408</v>
      </c>
      <c r="D595" s="25"/>
      <c r="E595" s="25"/>
    </row>
    <row r="596" spans="1:5" s="15" customFormat="1" ht="12.95" customHeight="1">
      <c r="A596" s="25" t="s">
        <v>3409</v>
      </c>
      <c r="B596" s="25"/>
      <c r="C596" s="25" t="s">
        <v>3410</v>
      </c>
      <c r="D596" s="25"/>
      <c r="E596" s="25"/>
    </row>
    <row r="597" spans="1:5" s="15" customFormat="1" ht="12.95" customHeight="1">
      <c r="A597" s="25" t="s">
        <v>3411</v>
      </c>
      <c r="B597" s="25"/>
      <c r="C597" s="25" t="s">
        <v>3412</v>
      </c>
      <c r="D597" s="25"/>
      <c r="E597" s="25"/>
    </row>
    <row r="598" spans="1:5" s="15" customFormat="1" ht="12.95" customHeight="1">
      <c r="A598" s="25" t="s">
        <v>3413</v>
      </c>
      <c r="B598" s="25"/>
      <c r="C598" s="25" t="s">
        <v>3414</v>
      </c>
      <c r="D598" s="25"/>
      <c r="E598" s="25"/>
    </row>
    <row r="599" spans="1:5" s="15" customFormat="1" ht="12.95" customHeight="1">
      <c r="A599" s="25" t="s">
        <v>3415</v>
      </c>
      <c r="B599" s="25"/>
      <c r="C599" s="25" t="s">
        <v>3416</v>
      </c>
      <c r="D599" s="25"/>
      <c r="E599" s="25"/>
    </row>
    <row r="600" spans="1:5" s="15" customFormat="1" ht="12.95" customHeight="1">
      <c r="A600" s="25" t="s">
        <v>3417</v>
      </c>
      <c r="B600" s="25"/>
      <c r="C600" s="25" t="s">
        <v>3418</v>
      </c>
      <c r="D600" s="25"/>
      <c r="E600" s="25"/>
    </row>
    <row r="601" spans="1:5" s="15" customFormat="1" ht="12.95" customHeight="1">
      <c r="A601" s="25" t="s">
        <v>3419</v>
      </c>
      <c r="B601" s="25"/>
      <c r="C601" s="25" t="s">
        <v>3420</v>
      </c>
      <c r="D601" s="25"/>
      <c r="E601" s="25"/>
    </row>
    <row r="602" spans="1:5" s="15" customFormat="1" ht="12.95" customHeight="1">
      <c r="A602" s="25" t="s">
        <v>3421</v>
      </c>
      <c r="B602" s="25"/>
      <c r="C602" s="25" t="s">
        <v>3422</v>
      </c>
      <c r="D602" s="25"/>
      <c r="E602" s="25"/>
    </row>
    <row r="603" spans="1:5" s="15" customFormat="1" ht="12.95" customHeight="1">
      <c r="A603" s="25" t="s">
        <v>3423</v>
      </c>
      <c r="B603" s="25"/>
      <c r="C603" s="25" t="s">
        <v>3424</v>
      </c>
      <c r="D603" s="25"/>
      <c r="E603" s="25"/>
    </row>
    <row r="604" spans="1:5" s="15" customFormat="1" ht="12.95" customHeight="1">
      <c r="A604" s="25" t="s">
        <v>3425</v>
      </c>
      <c r="B604" s="25"/>
      <c r="C604" s="25" t="s">
        <v>3426</v>
      </c>
      <c r="D604" s="25"/>
      <c r="E604" s="25"/>
    </row>
    <row r="605" spans="1:5" s="15" customFormat="1" ht="12.95" customHeight="1">
      <c r="A605" s="25" t="s">
        <v>3427</v>
      </c>
      <c r="B605" s="25"/>
      <c r="C605" s="25" t="s">
        <v>3428</v>
      </c>
      <c r="D605" s="25"/>
      <c r="E605" s="25"/>
    </row>
    <row r="606" spans="1:5" s="15" customFormat="1" ht="12.95" customHeight="1">
      <c r="A606" s="25" t="s">
        <v>3429</v>
      </c>
      <c r="B606" s="25"/>
      <c r="C606" s="25" t="s">
        <v>3430</v>
      </c>
      <c r="D606" s="25"/>
      <c r="E606" s="25"/>
    </row>
    <row r="607" spans="1:5" s="15" customFormat="1" ht="12.95" customHeight="1">
      <c r="A607" s="25" t="s">
        <v>3431</v>
      </c>
      <c r="B607" s="25"/>
      <c r="C607" s="25" t="s">
        <v>3432</v>
      </c>
      <c r="D607" s="25"/>
      <c r="E607" s="25"/>
    </row>
    <row r="608" spans="1:5" s="15" customFormat="1" ht="12.95" customHeight="1">
      <c r="A608" s="25" t="s">
        <v>3433</v>
      </c>
      <c r="B608" s="25"/>
      <c r="C608" s="25" t="s">
        <v>3434</v>
      </c>
      <c r="D608" s="25"/>
      <c r="E608" s="25"/>
    </row>
    <row r="609" spans="1:5" s="15" customFormat="1" ht="12.95" customHeight="1">
      <c r="A609" s="25" t="s">
        <v>3435</v>
      </c>
      <c r="B609" s="25"/>
      <c r="C609" s="25" t="s">
        <v>3436</v>
      </c>
      <c r="D609" s="25"/>
      <c r="E609" s="25"/>
    </row>
    <row r="610" spans="1:5" s="15" customFormat="1" ht="12.95" customHeight="1">
      <c r="A610" s="25" t="s">
        <v>3437</v>
      </c>
      <c r="B610" s="25"/>
      <c r="C610" s="25" t="s">
        <v>3438</v>
      </c>
      <c r="D610" s="25"/>
      <c r="E610" s="25"/>
    </row>
    <row r="611" spans="1:5" s="15" customFormat="1" ht="12.95" customHeight="1">
      <c r="A611" s="25" t="s">
        <v>3439</v>
      </c>
      <c r="B611" s="25"/>
      <c r="C611" s="25" t="s">
        <v>3428</v>
      </c>
      <c r="D611" s="25"/>
      <c r="E611" s="25"/>
    </row>
    <row r="612" spans="1:5" s="15" customFormat="1" ht="12.95" customHeight="1">
      <c r="A612" s="25" t="s">
        <v>3440</v>
      </c>
      <c r="B612" s="25"/>
      <c r="C612" s="25" t="s">
        <v>3441</v>
      </c>
      <c r="D612" s="25"/>
      <c r="E612" s="25"/>
    </row>
    <row r="613" spans="1:5" s="15" customFormat="1" ht="12.95" customHeight="1">
      <c r="A613" s="25" t="s">
        <v>3442</v>
      </c>
      <c r="B613" s="25"/>
      <c r="C613" s="25" t="s">
        <v>3443</v>
      </c>
      <c r="D613" s="25"/>
      <c r="E613" s="25"/>
    </row>
    <row r="614" spans="1:5" s="15" customFormat="1" ht="12.95" customHeight="1">
      <c r="A614" s="25" t="s">
        <v>3444</v>
      </c>
      <c r="B614" s="25"/>
      <c r="C614" s="25" t="s">
        <v>3445</v>
      </c>
      <c r="D614" s="25"/>
      <c r="E614" s="25"/>
    </row>
    <row r="615" spans="1:5" s="15" customFormat="1" ht="12.95" customHeight="1">
      <c r="A615" s="25" t="s">
        <v>3446</v>
      </c>
      <c r="B615" s="25"/>
      <c r="C615" s="25" t="s">
        <v>3447</v>
      </c>
      <c r="D615" s="25"/>
      <c r="E615" s="25"/>
    </row>
    <row r="616" spans="1:5" s="15" customFormat="1" ht="12.95" customHeight="1">
      <c r="A616" s="25" t="s">
        <v>3448</v>
      </c>
      <c r="B616" s="25"/>
      <c r="C616" s="25" t="s">
        <v>3449</v>
      </c>
      <c r="D616" s="25"/>
      <c r="E616" s="25"/>
    </row>
    <row r="617" spans="1:5" s="15" customFormat="1" ht="12.95" customHeight="1">
      <c r="A617" s="25" t="s">
        <v>3450</v>
      </c>
      <c r="B617" s="25"/>
      <c r="C617" s="25" t="s">
        <v>3451</v>
      </c>
      <c r="D617" s="25"/>
      <c r="E617" s="25"/>
    </row>
    <row r="618" spans="1:5" s="15" customFormat="1" ht="12.95" customHeight="1">
      <c r="A618" s="25" t="s">
        <v>3452</v>
      </c>
      <c r="B618" s="25"/>
      <c r="C618" s="25" t="s">
        <v>3453</v>
      </c>
      <c r="D618" s="25"/>
      <c r="E618" s="25"/>
    </row>
    <row r="619" spans="1:5" s="15" customFormat="1" ht="12.95" customHeight="1">
      <c r="A619" s="25" t="s">
        <v>3454</v>
      </c>
      <c r="B619" s="25"/>
      <c r="C619" s="25" t="s">
        <v>3451</v>
      </c>
      <c r="D619" s="25"/>
      <c r="E619" s="25"/>
    </row>
    <row r="620" spans="1:5" s="15" customFormat="1" ht="12.95" customHeight="1">
      <c r="A620" s="25" t="s">
        <v>3455</v>
      </c>
      <c r="B620" s="25"/>
      <c r="C620" s="25" t="s">
        <v>3456</v>
      </c>
      <c r="D620" s="25"/>
      <c r="E620" s="25"/>
    </row>
    <row r="621" spans="1:5" s="15" customFormat="1" ht="12.95" customHeight="1">
      <c r="A621" s="25" t="s">
        <v>3457</v>
      </c>
      <c r="B621" s="25"/>
      <c r="C621" s="25" t="s">
        <v>3458</v>
      </c>
      <c r="D621" s="25"/>
      <c r="E621" s="25"/>
    </row>
    <row r="622" spans="1:5" s="15" customFormat="1" ht="12.95" customHeight="1">
      <c r="A622" s="25" t="s">
        <v>3459</v>
      </c>
      <c r="B622" s="25"/>
      <c r="C622" s="25" t="s">
        <v>3460</v>
      </c>
      <c r="D622" s="25"/>
      <c r="E622" s="25"/>
    </row>
    <row r="623" spans="1:5" s="15" customFormat="1" ht="12.95" customHeight="1">
      <c r="A623" s="25" t="s">
        <v>3461</v>
      </c>
      <c r="B623" s="25"/>
      <c r="C623" s="25" t="s">
        <v>3462</v>
      </c>
      <c r="D623" s="25"/>
      <c r="E623" s="25"/>
    </row>
    <row r="624" spans="1:5" s="15" customFormat="1" ht="12.95" customHeight="1">
      <c r="A624" s="25" t="s">
        <v>3463</v>
      </c>
      <c r="B624" s="25"/>
      <c r="C624" s="25" t="s">
        <v>3462</v>
      </c>
      <c r="D624" s="25"/>
      <c r="E624" s="25"/>
    </row>
    <row r="625" spans="1:5" s="15" customFormat="1" ht="12.95" customHeight="1">
      <c r="A625" s="25" t="s">
        <v>3464</v>
      </c>
      <c r="B625" s="25"/>
      <c r="C625" s="25" t="s">
        <v>3465</v>
      </c>
      <c r="D625" s="25"/>
      <c r="E625" s="25"/>
    </row>
    <row r="626" spans="1:5" s="15" customFormat="1" ht="12.95" customHeight="1">
      <c r="A626" s="25" t="s">
        <v>3466</v>
      </c>
      <c r="B626" s="25"/>
      <c r="C626" s="25" t="s">
        <v>3467</v>
      </c>
      <c r="D626" s="25"/>
      <c r="E626" s="25"/>
    </row>
    <row r="627" spans="1:5" s="15" customFormat="1" ht="12.95" customHeight="1">
      <c r="A627" s="25" t="s">
        <v>3468</v>
      </c>
      <c r="B627" s="25"/>
      <c r="C627" s="25" t="s">
        <v>3467</v>
      </c>
      <c r="D627" s="25"/>
      <c r="E627" s="25"/>
    </row>
    <row r="628" spans="1:5" s="15" customFormat="1" ht="12.95" customHeight="1">
      <c r="A628" s="25" t="s">
        <v>3469</v>
      </c>
      <c r="B628" s="25"/>
      <c r="C628" s="25" t="s">
        <v>3470</v>
      </c>
      <c r="D628" s="25"/>
      <c r="E628" s="25"/>
    </row>
    <row r="629" spans="1:5" s="15" customFormat="1" ht="12.95" customHeight="1">
      <c r="A629" s="25" t="s">
        <v>3471</v>
      </c>
      <c r="B629" s="25"/>
      <c r="C629" s="25" t="s">
        <v>3472</v>
      </c>
      <c r="D629" s="25"/>
      <c r="E629" s="25"/>
    </row>
    <row r="630" spans="1:5" s="15" customFormat="1" ht="12.95" customHeight="1">
      <c r="A630" s="25" t="s">
        <v>3473</v>
      </c>
      <c r="B630" s="25"/>
      <c r="C630" s="25" t="s">
        <v>3474</v>
      </c>
      <c r="D630" s="25"/>
      <c r="E630" s="25"/>
    </row>
    <row r="631" spans="1:5" s="15" customFormat="1" ht="12.95" customHeight="1">
      <c r="A631" s="25" t="s">
        <v>3475</v>
      </c>
      <c r="B631" s="25"/>
      <c r="C631" s="25" t="s">
        <v>3476</v>
      </c>
      <c r="D631" s="25"/>
      <c r="E631" s="25"/>
    </row>
    <row r="632" spans="1:5" s="15" customFormat="1" ht="12.95" customHeight="1">
      <c r="A632" s="25" t="s">
        <v>3477</v>
      </c>
      <c r="B632" s="25"/>
      <c r="C632" s="25" t="s">
        <v>3478</v>
      </c>
      <c r="D632" s="25"/>
      <c r="E632" s="25"/>
    </row>
    <row r="633" spans="1:5" s="15" customFormat="1" ht="12.95" customHeight="1">
      <c r="A633" s="25" t="s">
        <v>3479</v>
      </c>
      <c r="B633" s="25"/>
      <c r="C633" s="25" t="s">
        <v>3480</v>
      </c>
      <c r="D633" s="25"/>
      <c r="E633" s="25"/>
    </row>
    <row r="634" spans="1:5" s="15" customFormat="1" ht="12.95" customHeight="1">
      <c r="A634" s="25" t="s">
        <v>3481</v>
      </c>
      <c r="B634" s="25"/>
      <c r="C634" s="25" t="s">
        <v>3482</v>
      </c>
      <c r="D634" s="25"/>
      <c r="E634" s="25"/>
    </row>
    <row r="635" spans="1:5" s="15" customFormat="1" ht="12.95" customHeight="1">
      <c r="A635" s="25" t="s">
        <v>3483</v>
      </c>
      <c r="B635" s="25"/>
      <c r="C635" s="25" t="s">
        <v>3484</v>
      </c>
      <c r="D635" s="25"/>
      <c r="E635" s="25"/>
    </row>
    <row r="636" spans="1:5" s="15" customFormat="1" ht="12.95" customHeight="1">
      <c r="A636" s="25" t="s">
        <v>3485</v>
      </c>
      <c r="B636" s="25"/>
      <c r="C636" s="25" t="s">
        <v>3486</v>
      </c>
      <c r="D636" s="25"/>
      <c r="E636" s="25"/>
    </row>
    <row r="637" spans="1:5" s="15" customFormat="1" ht="12.95" customHeight="1">
      <c r="A637" s="25" t="s">
        <v>3487</v>
      </c>
      <c r="B637" s="25"/>
      <c r="C637" s="25" t="s">
        <v>3488</v>
      </c>
      <c r="D637" s="25"/>
      <c r="E637" s="25"/>
    </row>
    <row r="638" spans="1:5" s="15" customFormat="1" ht="12.95" customHeight="1">
      <c r="A638" s="25" t="s">
        <v>3489</v>
      </c>
      <c r="B638" s="25"/>
      <c r="C638" s="25" t="s">
        <v>3490</v>
      </c>
      <c r="D638" s="25"/>
      <c r="E638" s="25"/>
    </row>
    <row r="639" spans="1:5" s="15" customFormat="1" ht="12.95" customHeight="1">
      <c r="A639" s="25" t="s">
        <v>3491</v>
      </c>
      <c r="B639" s="25"/>
      <c r="C639" s="25" t="s">
        <v>3492</v>
      </c>
      <c r="D639" s="25"/>
      <c r="E639" s="25"/>
    </row>
    <row r="640" spans="1:5" s="15" customFormat="1" ht="12.95" customHeight="1">
      <c r="A640" s="25" t="s">
        <v>3493</v>
      </c>
      <c r="B640" s="25"/>
      <c r="C640" s="25" t="s">
        <v>3494</v>
      </c>
      <c r="D640" s="25"/>
      <c r="E640" s="25"/>
    </row>
    <row r="641" spans="1:5" s="15" customFormat="1" ht="12.95" customHeight="1">
      <c r="A641" s="25" t="s">
        <v>3495</v>
      </c>
      <c r="B641" s="25"/>
      <c r="C641" s="25" t="s">
        <v>3496</v>
      </c>
      <c r="D641" s="25"/>
      <c r="E641" s="25"/>
    </row>
    <row r="642" spans="1:5" s="15" customFormat="1" ht="12.95" customHeight="1">
      <c r="A642" s="25" t="s">
        <v>3497</v>
      </c>
      <c r="B642" s="25"/>
      <c r="C642" s="25" t="s">
        <v>3498</v>
      </c>
      <c r="D642" s="25"/>
      <c r="E642" s="25"/>
    </row>
    <row r="643" spans="1:5" s="15" customFormat="1" ht="12.95" customHeight="1">
      <c r="A643" s="25" t="s">
        <v>3499</v>
      </c>
      <c r="B643" s="25"/>
      <c r="C643" s="25" t="s">
        <v>3500</v>
      </c>
      <c r="D643" s="25"/>
      <c r="E643" s="25"/>
    </row>
    <row r="644" spans="1:5" s="15" customFormat="1" ht="12.95" customHeight="1">
      <c r="A644" s="25" t="s">
        <v>3501</v>
      </c>
      <c r="B644" s="25"/>
      <c r="C644" s="25" t="s">
        <v>3502</v>
      </c>
      <c r="D644" s="25"/>
      <c r="E644" s="25"/>
    </row>
    <row r="645" spans="1:5" s="15" customFormat="1" ht="12.95" customHeight="1">
      <c r="A645" s="25" t="s">
        <v>3503</v>
      </c>
      <c r="B645" s="25"/>
      <c r="C645" s="25" t="s">
        <v>3504</v>
      </c>
      <c r="D645" s="25"/>
      <c r="E645" s="25"/>
    </row>
    <row r="646" spans="1:5" s="15" customFormat="1" ht="12.95" customHeight="1">
      <c r="A646" s="25" t="s">
        <v>3505</v>
      </c>
      <c r="B646" s="25"/>
      <c r="C646" s="25" t="s">
        <v>3506</v>
      </c>
      <c r="D646" s="25"/>
      <c r="E646" s="25"/>
    </row>
    <row r="647" spans="1:5" s="15" customFormat="1" ht="12.95" customHeight="1">
      <c r="A647" s="25" t="s">
        <v>3507</v>
      </c>
      <c r="B647" s="25"/>
      <c r="C647" s="25" t="s">
        <v>3508</v>
      </c>
      <c r="D647" s="25"/>
      <c r="E647" s="25"/>
    </row>
    <row r="648" spans="1:5" s="15" customFormat="1" ht="12.95" customHeight="1">
      <c r="A648" s="25" t="s">
        <v>3509</v>
      </c>
      <c r="B648" s="25"/>
      <c r="C648" s="25" t="s">
        <v>3510</v>
      </c>
      <c r="D648" s="25"/>
      <c r="E648" s="25"/>
    </row>
    <row r="649" spans="1:5" s="15" customFormat="1" ht="12.95" customHeight="1">
      <c r="A649" s="25" t="s">
        <v>3511</v>
      </c>
      <c r="B649" s="25"/>
      <c r="C649" s="25" t="s">
        <v>3512</v>
      </c>
      <c r="D649" s="25"/>
      <c r="E649" s="25"/>
    </row>
    <row r="650" spans="1:5" s="15" customFormat="1" ht="12.95" customHeight="1">
      <c r="A650" s="25" t="s">
        <v>3513</v>
      </c>
      <c r="B650" s="25"/>
      <c r="C650" s="25" t="s">
        <v>3514</v>
      </c>
      <c r="D650" s="25"/>
      <c r="E650" s="25"/>
    </row>
    <row r="651" spans="1:5" s="15" customFormat="1" ht="12.95" customHeight="1">
      <c r="A651" s="25" t="s">
        <v>3515</v>
      </c>
      <c r="B651" s="25"/>
      <c r="C651" s="25" t="s">
        <v>3516</v>
      </c>
      <c r="D651" s="25"/>
      <c r="E651" s="25"/>
    </row>
    <row r="652" spans="1:5" s="15" customFormat="1" ht="12.95" customHeight="1">
      <c r="A652" s="25" t="s">
        <v>3517</v>
      </c>
      <c r="B652" s="25"/>
      <c r="C652" s="25" t="s">
        <v>3518</v>
      </c>
      <c r="D652" s="25"/>
      <c r="E652" s="25"/>
    </row>
    <row r="653" spans="1:5" s="15" customFormat="1" ht="12.95" customHeight="1">
      <c r="A653" s="25" t="s">
        <v>3519</v>
      </c>
      <c r="B653" s="25"/>
      <c r="C653" s="25" t="s">
        <v>3520</v>
      </c>
      <c r="D653" s="25"/>
      <c r="E653" s="25"/>
    </row>
    <row r="654" spans="1:5" s="15" customFormat="1" ht="12.95" customHeight="1">
      <c r="A654" s="25" t="s">
        <v>3521</v>
      </c>
      <c r="B654" s="25"/>
      <c r="C654" s="25" t="s">
        <v>3522</v>
      </c>
      <c r="D654" s="25"/>
      <c r="E654" s="25"/>
    </row>
    <row r="655" spans="1:5" s="15" customFormat="1" ht="12.95" customHeight="1">
      <c r="A655" s="25" t="s">
        <v>3523</v>
      </c>
      <c r="B655" s="25"/>
      <c r="C655" s="25" t="s">
        <v>3524</v>
      </c>
      <c r="D655" s="25"/>
      <c r="E655" s="25"/>
    </row>
    <row r="656" spans="1:5" s="15" customFormat="1" ht="12.95" customHeight="1">
      <c r="A656" s="25" t="s">
        <v>3525</v>
      </c>
      <c r="B656" s="25"/>
      <c r="C656" s="25" t="s">
        <v>3526</v>
      </c>
      <c r="D656" s="25"/>
      <c r="E656" s="25"/>
    </row>
    <row r="657" spans="1:5" s="15" customFormat="1" ht="12.95" customHeight="1">
      <c r="A657" s="25" t="s">
        <v>3527</v>
      </c>
      <c r="B657" s="25"/>
      <c r="C657" s="25" t="s">
        <v>3528</v>
      </c>
      <c r="D657" s="25"/>
      <c r="E657" s="25"/>
    </row>
    <row r="658" spans="1:5" s="15" customFormat="1" ht="12.95" customHeight="1">
      <c r="A658" s="25" t="s">
        <v>3529</v>
      </c>
      <c r="B658" s="25"/>
      <c r="C658" s="25" t="s">
        <v>3528</v>
      </c>
      <c r="D658" s="25"/>
      <c r="E658" s="25"/>
    </row>
    <row r="659" spans="1:5" s="15" customFormat="1" ht="12.95" customHeight="1">
      <c r="A659" s="25" t="s">
        <v>3530</v>
      </c>
      <c r="B659" s="25"/>
      <c r="C659" s="25" t="s">
        <v>3531</v>
      </c>
      <c r="D659" s="25"/>
      <c r="E659" s="25"/>
    </row>
    <row r="660" spans="1:5" s="15" customFormat="1" ht="12.95" customHeight="1">
      <c r="A660" s="25" t="s">
        <v>3532</v>
      </c>
      <c r="B660" s="25"/>
      <c r="C660" s="25" t="s">
        <v>3533</v>
      </c>
      <c r="D660" s="25"/>
      <c r="E660" s="25"/>
    </row>
    <row r="661" spans="1:5" s="15" customFormat="1" ht="12.95" customHeight="1">
      <c r="A661" s="25" t="s">
        <v>3534</v>
      </c>
      <c r="B661" s="25"/>
      <c r="C661" s="25" t="s">
        <v>3535</v>
      </c>
      <c r="D661" s="25"/>
      <c r="E661" s="25"/>
    </row>
    <row r="662" spans="1:5" s="15" customFormat="1" ht="12.95" customHeight="1">
      <c r="A662" s="25" t="s">
        <v>3536</v>
      </c>
      <c r="B662" s="25"/>
      <c r="C662" s="25" t="s">
        <v>3537</v>
      </c>
      <c r="D662" s="25"/>
      <c r="E662" s="25"/>
    </row>
    <row r="663" spans="1:5" s="15" customFormat="1" ht="12.95" customHeight="1">
      <c r="A663" s="25" t="s">
        <v>3538</v>
      </c>
      <c r="B663" s="25"/>
      <c r="C663" s="25" t="s">
        <v>3533</v>
      </c>
      <c r="D663" s="25"/>
      <c r="E663" s="25"/>
    </row>
    <row r="664" spans="1:5" s="15" customFormat="1" ht="12.95" customHeight="1">
      <c r="A664" s="25" t="s">
        <v>3539</v>
      </c>
      <c r="B664" s="25"/>
      <c r="C664" s="25" t="s">
        <v>3540</v>
      </c>
      <c r="D664" s="25"/>
      <c r="E664" s="25"/>
    </row>
    <row r="665" spans="1:5" s="15" customFormat="1" ht="12.95" customHeight="1">
      <c r="A665" s="25" t="s">
        <v>3541</v>
      </c>
      <c r="B665" s="25"/>
      <c r="C665" s="25" t="s">
        <v>3542</v>
      </c>
      <c r="D665" s="25"/>
      <c r="E665" s="25"/>
    </row>
    <row r="666" spans="1:5" s="15" customFormat="1" ht="12.95" customHeight="1">
      <c r="A666" s="25" t="s">
        <v>3543</v>
      </c>
      <c r="B666" s="25"/>
      <c r="C666" s="25" t="s">
        <v>3542</v>
      </c>
      <c r="D666" s="25"/>
      <c r="E666" s="25"/>
    </row>
    <row r="667" spans="1:5" s="15" customFormat="1" ht="12.95" customHeight="1">
      <c r="A667" s="25" t="s">
        <v>3544</v>
      </c>
      <c r="B667" s="25"/>
      <c r="C667" s="25" t="s">
        <v>3545</v>
      </c>
      <c r="D667" s="25"/>
      <c r="E667" s="25"/>
    </row>
    <row r="668" spans="1:5" s="15" customFormat="1" ht="12.95" customHeight="1">
      <c r="A668" s="25" t="s">
        <v>3546</v>
      </c>
      <c r="B668" s="25"/>
      <c r="C668" s="25" t="s">
        <v>3547</v>
      </c>
      <c r="D668" s="25"/>
      <c r="E668" s="25"/>
    </row>
    <row r="669" spans="1:5" s="15" customFormat="1" ht="12.95" customHeight="1">
      <c r="A669" s="25" t="s">
        <v>3548</v>
      </c>
      <c r="B669" s="25"/>
      <c r="C669" s="25" t="s">
        <v>3549</v>
      </c>
      <c r="D669" s="25"/>
      <c r="E669" s="25"/>
    </row>
    <row r="670" spans="1:5" s="15" customFormat="1" ht="12.95" customHeight="1">
      <c r="A670" s="25" t="s">
        <v>3550</v>
      </c>
      <c r="B670" s="25"/>
      <c r="C670" s="25" t="s">
        <v>3551</v>
      </c>
      <c r="D670" s="25"/>
      <c r="E670" s="25"/>
    </row>
    <row r="671" spans="1:5" s="15" customFormat="1" ht="12.95" customHeight="1">
      <c r="A671" s="25" t="s">
        <v>3552</v>
      </c>
      <c r="B671" s="25"/>
      <c r="C671" s="25" t="s">
        <v>3553</v>
      </c>
      <c r="D671" s="25"/>
      <c r="E671" s="25"/>
    </row>
    <row r="672" spans="1:5" s="15" customFormat="1" ht="12.95" customHeight="1">
      <c r="A672" s="25" t="s">
        <v>3554</v>
      </c>
      <c r="B672" s="25"/>
      <c r="C672" s="25" t="s">
        <v>3555</v>
      </c>
      <c r="D672" s="25"/>
      <c r="E672" s="25"/>
    </row>
    <row r="673" spans="1:5" s="15" customFormat="1" ht="12.95" customHeight="1">
      <c r="A673" s="25" t="s">
        <v>3556</v>
      </c>
      <c r="B673" s="25"/>
      <c r="C673" s="25" t="s">
        <v>3557</v>
      </c>
      <c r="D673" s="25"/>
      <c r="E673" s="25"/>
    </row>
    <row r="674" spans="1:5" s="15" customFormat="1" ht="12.95" customHeight="1">
      <c r="A674" s="25" t="s">
        <v>3558</v>
      </c>
      <c r="B674" s="25"/>
      <c r="C674" s="25" t="s">
        <v>3559</v>
      </c>
      <c r="D674" s="25"/>
      <c r="E674" s="25"/>
    </row>
    <row r="675" spans="1:5" s="15" customFormat="1" ht="12.95" customHeight="1">
      <c r="A675" s="25" t="s">
        <v>3560</v>
      </c>
      <c r="B675" s="25"/>
      <c r="C675" s="25" t="s">
        <v>3561</v>
      </c>
      <c r="D675" s="25"/>
      <c r="E675" s="25"/>
    </row>
    <row r="676" spans="1:5" s="15" customFormat="1" ht="12.95" customHeight="1">
      <c r="A676" s="25" t="s">
        <v>3562</v>
      </c>
      <c r="B676" s="25"/>
      <c r="C676" s="25" t="s">
        <v>3563</v>
      </c>
      <c r="D676" s="25"/>
      <c r="E676" s="25"/>
    </row>
    <row r="677" spans="1:5" s="15" customFormat="1" ht="12.95" customHeight="1">
      <c r="A677" s="25" t="s">
        <v>3564</v>
      </c>
      <c r="B677" s="25"/>
      <c r="C677" s="25" t="s">
        <v>3565</v>
      </c>
      <c r="D677" s="25"/>
      <c r="E677" s="25"/>
    </row>
    <row r="678" spans="1:5" s="15" customFormat="1" ht="12.95" customHeight="1">
      <c r="A678" s="25" t="s">
        <v>3566</v>
      </c>
      <c r="B678" s="25"/>
      <c r="C678" s="25" t="s">
        <v>3567</v>
      </c>
      <c r="D678" s="25"/>
      <c r="E678" s="25"/>
    </row>
    <row r="679" spans="1:5" s="15" customFormat="1" ht="12.95" customHeight="1">
      <c r="A679" s="25" t="s">
        <v>3568</v>
      </c>
      <c r="B679" s="25"/>
      <c r="C679" s="25" t="s">
        <v>3569</v>
      </c>
      <c r="D679" s="25"/>
      <c r="E679" s="25"/>
    </row>
    <row r="680" spans="1:5" s="15" customFormat="1" ht="12.95" customHeight="1">
      <c r="A680" s="25" t="s">
        <v>3570</v>
      </c>
      <c r="B680" s="25"/>
      <c r="C680" s="25" t="s">
        <v>3571</v>
      </c>
      <c r="D680" s="25"/>
      <c r="E680" s="25"/>
    </row>
    <row r="681" spans="1:5" s="15" customFormat="1" ht="12.95" customHeight="1">
      <c r="A681" s="25" t="s">
        <v>3572</v>
      </c>
      <c r="B681" s="25"/>
      <c r="C681" s="25" t="s">
        <v>3573</v>
      </c>
      <c r="D681" s="25"/>
      <c r="E681" s="25"/>
    </row>
    <row r="682" spans="1:5" s="15" customFormat="1" ht="12.95" customHeight="1">
      <c r="A682" s="25" t="s">
        <v>3574</v>
      </c>
      <c r="B682" s="25"/>
      <c r="C682" s="25" t="s">
        <v>3575</v>
      </c>
      <c r="D682" s="25"/>
      <c r="E682" s="25"/>
    </row>
    <row r="683" spans="1:5" s="15" customFormat="1" ht="12.95" customHeight="1">
      <c r="A683" s="25" t="s">
        <v>3576</v>
      </c>
      <c r="B683" s="25"/>
      <c r="C683" s="25" t="s">
        <v>3577</v>
      </c>
      <c r="D683" s="25"/>
      <c r="E683" s="25"/>
    </row>
    <row r="684" spans="1:5" s="15" customFormat="1" ht="12.95" customHeight="1">
      <c r="A684" s="25" t="s">
        <v>3578</v>
      </c>
      <c r="B684" s="25"/>
      <c r="C684" s="25" t="s">
        <v>3579</v>
      </c>
      <c r="D684" s="25"/>
      <c r="E684" s="25"/>
    </row>
    <row r="685" spans="1:5" s="15" customFormat="1" ht="12.95" customHeight="1">
      <c r="A685" s="25" t="s">
        <v>3580</v>
      </c>
      <c r="B685" s="25"/>
      <c r="C685" s="25" t="s">
        <v>3540</v>
      </c>
      <c r="D685" s="25"/>
      <c r="E685" s="25"/>
    </row>
    <row r="686" spans="1:5" s="15" customFormat="1" ht="12.95" customHeight="1">
      <c r="A686" s="25" t="s">
        <v>3581</v>
      </c>
      <c r="B686" s="25"/>
      <c r="C686" s="25" t="s">
        <v>3582</v>
      </c>
      <c r="D686" s="25"/>
      <c r="E686" s="25"/>
    </row>
    <row r="687" spans="1:5" s="15" customFormat="1" ht="12.95" customHeight="1">
      <c r="A687" s="25" t="s">
        <v>3583</v>
      </c>
      <c r="B687" s="25"/>
      <c r="C687" s="25" t="s">
        <v>3584</v>
      </c>
      <c r="D687" s="25"/>
      <c r="E687" s="25"/>
    </row>
    <row r="688" spans="1:5" s="15" customFormat="1" ht="12.95" customHeight="1">
      <c r="A688" s="25" t="s">
        <v>3585</v>
      </c>
      <c r="B688" s="25"/>
      <c r="C688" s="25" t="s">
        <v>3586</v>
      </c>
      <c r="D688" s="25"/>
      <c r="E688" s="25"/>
    </row>
    <row r="689" spans="1:5" s="15" customFormat="1" ht="12.95" customHeight="1">
      <c r="A689" s="25" t="s">
        <v>3587</v>
      </c>
      <c r="B689" s="25"/>
      <c r="C689" s="25" t="s">
        <v>3588</v>
      </c>
      <c r="D689" s="25"/>
      <c r="E689" s="25"/>
    </row>
    <row r="690" spans="1:5" s="15" customFormat="1" ht="12.95" customHeight="1">
      <c r="A690" s="25" t="s">
        <v>3589</v>
      </c>
      <c r="B690" s="25"/>
      <c r="C690" s="25" t="s">
        <v>3590</v>
      </c>
      <c r="D690" s="25"/>
      <c r="E690" s="25"/>
    </row>
    <row r="691" spans="1:5" s="15" customFormat="1" ht="12.95" customHeight="1">
      <c r="A691" s="25" t="s">
        <v>3591</v>
      </c>
      <c r="B691" s="25"/>
      <c r="C691" s="25" t="s">
        <v>3592</v>
      </c>
      <c r="D691" s="25"/>
      <c r="E691" s="25"/>
    </row>
    <row r="692" spans="1:5" s="15" customFormat="1" ht="12.95" customHeight="1">
      <c r="A692" s="25" t="s">
        <v>3593</v>
      </c>
      <c r="B692" s="25"/>
      <c r="C692" s="25" t="s">
        <v>3594</v>
      </c>
      <c r="D692" s="25"/>
      <c r="E692" s="25"/>
    </row>
    <row r="693" spans="1:5" s="15" customFormat="1" ht="12.95" customHeight="1">
      <c r="A693" s="25" t="s">
        <v>3595</v>
      </c>
      <c r="B693" s="25"/>
      <c r="C693" s="25" t="s">
        <v>3596</v>
      </c>
      <c r="D693" s="25"/>
      <c r="E693" s="25"/>
    </row>
    <row r="694" spans="1:5" s="15" customFormat="1" ht="12.95" customHeight="1">
      <c r="A694" s="25" t="s">
        <v>3597</v>
      </c>
      <c r="B694" s="25"/>
      <c r="C694" s="25" t="s">
        <v>3598</v>
      </c>
      <c r="D694" s="25"/>
      <c r="E694" s="25"/>
    </row>
    <row r="695" spans="1:5" s="15" customFormat="1" ht="12.95" customHeight="1">
      <c r="A695" s="25" t="s">
        <v>3599</v>
      </c>
      <c r="B695" s="25"/>
      <c r="C695" s="25" t="s">
        <v>3600</v>
      </c>
      <c r="D695" s="25"/>
      <c r="E695" s="25"/>
    </row>
    <row r="696" spans="1:5" s="15" customFormat="1" ht="12.95" customHeight="1">
      <c r="A696" s="25" t="s">
        <v>3601</v>
      </c>
      <c r="B696" s="25"/>
      <c r="C696" s="25" t="s">
        <v>3602</v>
      </c>
      <c r="D696" s="25"/>
      <c r="E696" s="25"/>
    </row>
    <row r="697" spans="1:5" s="15" customFormat="1" ht="12.95" customHeight="1">
      <c r="A697" s="25" t="s">
        <v>3603</v>
      </c>
      <c r="B697" s="25"/>
      <c r="C697" s="25" t="s">
        <v>3604</v>
      </c>
      <c r="D697" s="25"/>
      <c r="E697" s="25"/>
    </row>
    <row r="698" spans="1:5" s="15" customFormat="1" ht="12.95" customHeight="1">
      <c r="A698" s="25" t="s">
        <v>3605</v>
      </c>
      <c r="B698" s="25"/>
      <c r="C698" s="25" t="s">
        <v>3606</v>
      </c>
      <c r="D698" s="25"/>
      <c r="E698" s="25"/>
    </row>
    <row r="699" spans="1:5" s="15" customFormat="1" ht="12.95" customHeight="1">
      <c r="A699" s="25" t="s">
        <v>3607</v>
      </c>
      <c r="B699" s="25"/>
      <c r="C699" s="25" t="s">
        <v>3608</v>
      </c>
      <c r="D699" s="25"/>
      <c r="E699" s="25"/>
    </row>
    <row r="700" spans="1:5" s="15" customFormat="1" ht="12.95" customHeight="1">
      <c r="A700" s="25" t="s">
        <v>3609</v>
      </c>
      <c r="B700" s="25"/>
      <c r="C700" s="25" t="s">
        <v>3610</v>
      </c>
      <c r="D700" s="25"/>
      <c r="E700" s="25"/>
    </row>
    <row r="701" spans="1:5" s="15" customFormat="1" ht="12.95" customHeight="1">
      <c r="A701" s="25" t="s">
        <v>3611</v>
      </c>
      <c r="B701" s="25"/>
      <c r="C701" s="25" t="s">
        <v>3612</v>
      </c>
      <c r="D701" s="25"/>
      <c r="E701" s="25"/>
    </row>
    <row r="702" spans="1:5" s="15" customFormat="1" ht="12.95" customHeight="1">
      <c r="A702" s="25" t="s">
        <v>3613</v>
      </c>
      <c r="B702" s="25"/>
      <c r="C702" s="25" t="s">
        <v>3614</v>
      </c>
      <c r="D702" s="25"/>
      <c r="E702" s="25"/>
    </row>
    <row r="703" spans="1:5" s="15" customFormat="1" ht="12.95" customHeight="1">
      <c r="A703" s="25" t="s">
        <v>3615</v>
      </c>
      <c r="B703" s="25"/>
      <c r="C703" s="25" t="s">
        <v>3616</v>
      </c>
      <c r="D703" s="25"/>
      <c r="E703" s="25"/>
    </row>
    <row r="704" spans="1:5" s="15" customFormat="1" ht="12.95" customHeight="1">
      <c r="A704" s="25" t="s">
        <v>3617</v>
      </c>
      <c r="B704" s="25"/>
      <c r="C704" s="25" t="s">
        <v>3618</v>
      </c>
      <c r="D704" s="25"/>
      <c r="E704" s="25"/>
    </row>
    <row r="705" spans="1:5" s="15" customFormat="1" ht="12.95" customHeight="1">
      <c r="A705" s="25" t="s">
        <v>3619</v>
      </c>
      <c r="B705" s="25"/>
      <c r="C705" s="25" t="s">
        <v>3620</v>
      </c>
      <c r="D705" s="25"/>
      <c r="E705" s="25"/>
    </row>
    <row r="706" spans="1:5" s="15" customFormat="1" ht="12.95" customHeight="1">
      <c r="A706" s="25" t="s">
        <v>3621</v>
      </c>
      <c r="B706" s="25"/>
      <c r="C706" s="25" t="s">
        <v>3622</v>
      </c>
      <c r="D706" s="25"/>
      <c r="E706" s="25"/>
    </row>
    <row r="707" spans="1:5" s="15" customFormat="1" ht="12.95" customHeight="1">
      <c r="A707" s="25" t="s">
        <v>3623</v>
      </c>
      <c r="B707" s="25"/>
      <c r="C707" s="25" t="s">
        <v>3624</v>
      </c>
      <c r="D707" s="25"/>
      <c r="E707" s="25"/>
    </row>
    <row r="708" spans="1:5" s="15" customFormat="1" ht="12.95" customHeight="1">
      <c r="A708" s="25" t="s">
        <v>3625</v>
      </c>
      <c r="B708" s="25"/>
      <c r="C708" s="25" t="s">
        <v>3626</v>
      </c>
      <c r="D708" s="25"/>
      <c r="E708" s="25"/>
    </row>
    <row r="709" spans="1:5" s="15" customFormat="1" ht="12.95" customHeight="1">
      <c r="A709" s="25" t="s">
        <v>3627</v>
      </c>
      <c r="B709" s="25"/>
      <c r="C709" s="25" t="s">
        <v>3628</v>
      </c>
      <c r="D709" s="25"/>
      <c r="E709" s="25"/>
    </row>
    <row r="710" spans="1:5" s="15" customFormat="1" ht="12.95" customHeight="1">
      <c r="A710" s="25" t="s">
        <v>3629</v>
      </c>
      <c r="B710" s="25"/>
      <c r="C710" s="25" t="s">
        <v>3630</v>
      </c>
      <c r="D710" s="25"/>
      <c r="E710" s="25"/>
    </row>
    <row r="711" spans="1:5" s="15" customFormat="1" ht="12.95" customHeight="1">
      <c r="A711" s="25" t="s">
        <v>3631</v>
      </c>
      <c r="B711" s="25"/>
      <c r="C711" s="25" t="s">
        <v>3632</v>
      </c>
      <c r="D711" s="25"/>
      <c r="E711" s="25"/>
    </row>
    <row r="712" spans="1:5" s="15" customFormat="1" ht="12.95" customHeight="1">
      <c r="A712" s="25" t="s">
        <v>3633</v>
      </c>
      <c r="B712" s="25"/>
      <c r="C712" s="25" t="s">
        <v>3634</v>
      </c>
      <c r="D712" s="25"/>
      <c r="E712" s="25"/>
    </row>
    <row r="713" spans="1:5" s="15" customFormat="1" ht="12.95" customHeight="1">
      <c r="A713" s="25" t="s">
        <v>3635</v>
      </c>
      <c r="B713" s="25"/>
      <c r="C713" s="25" t="s">
        <v>3636</v>
      </c>
      <c r="D713" s="25"/>
      <c r="E713" s="25"/>
    </row>
    <row r="714" spans="1:5" s="15" customFormat="1" ht="12.95" customHeight="1">
      <c r="A714" s="25" t="s">
        <v>3637</v>
      </c>
      <c r="B714" s="25"/>
      <c r="C714" s="25" t="s">
        <v>3638</v>
      </c>
      <c r="D714" s="25"/>
      <c r="E714" s="25"/>
    </row>
    <row r="715" spans="1:5" s="15" customFormat="1" ht="12.95" customHeight="1">
      <c r="A715" s="25" t="s">
        <v>3639</v>
      </c>
      <c r="B715" s="25"/>
      <c r="C715" s="25" t="s">
        <v>3640</v>
      </c>
      <c r="D715" s="25"/>
      <c r="E715" s="25"/>
    </row>
    <row r="716" spans="1:5" s="15" customFormat="1" ht="12.95" customHeight="1">
      <c r="A716" s="25" t="s">
        <v>3641</v>
      </c>
      <c r="B716" s="25"/>
      <c r="C716" s="25" t="s">
        <v>3642</v>
      </c>
      <c r="D716" s="25"/>
      <c r="E716" s="25"/>
    </row>
    <row r="717" spans="1:5" s="15" customFormat="1" ht="12.95" customHeight="1">
      <c r="A717" s="25" t="s">
        <v>3643</v>
      </c>
      <c r="B717" s="25"/>
      <c r="C717" s="25" t="s">
        <v>3644</v>
      </c>
      <c r="D717" s="25"/>
      <c r="E717" s="25"/>
    </row>
    <row r="718" spans="1:5" s="15" customFormat="1" ht="12.95" customHeight="1">
      <c r="A718" s="25" t="s">
        <v>3645</v>
      </c>
      <c r="B718" s="25"/>
      <c r="C718" s="25" t="s">
        <v>3646</v>
      </c>
      <c r="D718" s="25"/>
      <c r="E718" s="25"/>
    </row>
    <row r="719" spans="1:5" s="15" customFormat="1" ht="12.95" customHeight="1">
      <c r="A719" s="25" t="s">
        <v>3647</v>
      </c>
      <c r="B719" s="25"/>
      <c r="C719" s="25" t="s">
        <v>3648</v>
      </c>
      <c r="D719" s="25"/>
      <c r="E719" s="25"/>
    </row>
    <row r="720" spans="1:5" s="15" customFormat="1" ht="12.95" customHeight="1">
      <c r="A720" s="25" t="s">
        <v>3649</v>
      </c>
      <c r="B720" s="25"/>
      <c r="C720" s="25" t="s">
        <v>3650</v>
      </c>
      <c r="D720" s="25"/>
      <c r="E720" s="25"/>
    </row>
    <row r="721" spans="1:5" s="15" customFormat="1" ht="12.95" customHeight="1">
      <c r="A721" s="25" t="s">
        <v>3651</v>
      </c>
      <c r="B721" s="25"/>
      <c r="C721" s="25" t="s">
        <v>3652</v>
      </c>
      <c r="D721" s="25"/>
      <c r="E721" s="25"/>
    </row>
    <row r="722" spans="1:5" s="15" customFormat="1" ht="12.95" customHeight="1">
      <c r="A722" s="25" t="s">
        <v>3653</v>
      </c>
      <c r="B722" s="25"/>
      <c r="C722" s="25" t="s">
        <v>3654</v>
      </c>
      <c r="D722" s="25"/>
      <c r="E722" s="25"/>
    </row>
    <row r="723" spans="1:5" s="15" customFormat="1" ht="12.95" customHeight="1">
      <c r="A723" s="25" t="s">
        <v>3655</v>
      </c>
      <c r="B723" s="25"/>
      <c r="C723" s="25" t="s">
        <v>3656</v>
      </c>
      <c r="D723" s="25"/>
      <c r="E723" s="25"/>
    </row>
    <row r="724" spans="1:5" s="15" customFormat="1" ht="12.95" customHeight="1">
      <c r="A724" s="25" t="s">
        <v>3657</v>
      </c>
      <c r="B724" s="25"/>
      <c r="C724" s="25" t="s">
        <v>3658</v>
      </c>
      <c r="D724" s="25"/>
      <c r="E724" s="25"/>
    </row>
    <row r="725" spans="1:5" s="15" customFormat="1" ht="12.95" customHeight="1">
      <c r="A725" s="25" t="s">
        <v>3659</v>
      </c>
      <c r="B725" s="25"/>
      <c r="C725" s="25" t="s">
        <v>3660</v>
      </c>
      <c r="D725" s="25"/>
      <c r="E725" s="25"/>
    </row>
    <row r="726" spans="1:5" s="15" customFormat="1" ht="12.95" customHeight="1">
      <c r="A726" s="25" t="s">
        <v>3661</v>
      </c>
      <c r="B726" s="25"/>
      <c r="C726" s="25" t="s">
        <v>3662</v>
      </c>
      <c r="D726" s="25"/>
      <c r="E726" s="25"/>
    </row>
    <row r="727" spans="1:5" s="15" customFormat="1" ht="12.95" customHeight="1">
      <c r="A727" s="25" t="s">
        <v>3663</v>
      </c>
      <c r="B727" s="25"/>
      <c r="C727" s="25" t="s">
        <v>3664</v>
      </c>
      <c r="D727" s="25"/>
      <c r="E727" s="25"/>
    </row>
    <row r="728" spans="1:5" s="15" customFormat="1" ht="12.95" customHeight="1">
      <c r="A728" s="25" t="s">
        <v>3665</v>
      </c>
      <c r="B728" s="25"/>
      <c r="C728" s="25" t="s">
        <v>3666</v>
      </c>
      <c r="D728" s="25"/>
      <c r="E728" s="25"/>
    </row>
    <row r="729" spans="1:5" s="15" customFormat="1" ht="12.95" customHeight="1">
      <c r="A729" s="25" t="s">
        <v>3667</v>
      </c>
      <c r="B729" s="25"/>
      <c r="C729" s="25" t="s">
        <v>3668</v>
      </c>
      <c r="D729" s="25"/>
      <c r="E729" s="25"/>
    </row>
    <row r="730" spans="1:5" s="15" customFormat="1" ht="12.95" customHeight="1">
      <c r="A730" s="25" t="s">
        <v>3669</v>
      </c>
      <c r="B730" s="25"/>
      <c r="C730" s="25" t="s">
        <v>3670</v>
      </c>
      <c r="D730" s="25"/>
      <c r="E730" s="25"/>
    </row>
    <row r="731" spans="1:5" s="15" customFormat="1" ht="12.95" customHeight="1">
      <c r="A731" s="25" t="s">
        <v>3671</v>
      </c>
      <c r="B731" s="25"/>
      <c r="C731" s="25" t="s">
        <v>3672</v>
      </c>
      <c r="D731" s="25"/>
      <c r="E731" s="25"/>
    </row>
    <row r="732" spans="1:5" s="15" customFormat="1" ht="12.95" customHeight="1">
      <c r="A732" s="25" t="s">
        <v>3673</v>
      </c>
      <c r="B732" s="25"/>
      <c r="C732" s="25" t="s">
        <v>3674</v>
      </c>
      <c r="D732" s="25"/>
      <c r="E732" s="25"/>
    </row>
    <row r="733" spans="1:5" s="15" customFormat="1" ht="12.95" customHeight="1">
      <c r="A733" s="25" t="s">
        <v>3675</v>
      </c>
      <c r="B733" s="25"/>
      <c r="C733" s="25" t="s">
        <v>3676</v>
      </c>
      <c r="D733" s="25"/>
      <c r="E733" s="25"/>
    </row>
    <row r="734" spans="1:5" s="15" customFormat="1" ht="12.95" customHeight="1">
      <c r="A734" s="25" t="s">
        <v>3677</v>
      </c>
      <c r="B734" s="25"/>
      <c r="C734" s="25" t="s">
        <v>3678</v>
      </c>
      <c r="D734" s="25"/>
      <c r="E734" s="25"/>
    </row>
    <row r="735" spans="1:5" s="15" customFormat="1" ht="12.95" customHeight="1">
      <c r="A735" s="25" t="s">
        <v>3679</v>
      </c>
      <c r="B735" s="25"/>
      <c r="C735" s="25" t="s">
        <v>3680</v>
      </c>
      <c r="D735" s="25"/>
      <c r="E735" s="25"/>
    </row>
    <row r="736" spans="1:5" s="15" customFormat="1" ht="12.95" customHeight="1">
      <c r="A736" s="25" t="s">
        <v>3681</v>
      </c>
      <c r="B736" s="25"/>
      <c r="C736" s="25" t="s">
        <v>3682</v>
      </c>
      <c r="D736" s="25"/>
      <c r="E736" s="25"/>
    </row>
    <row r="737" spans="1:5" s="15" customFormat="1" ht="12.95" customHeight="1">
      <c r="A737" s="25" t="s">
        <v>3683</v>
      </c>
      <c r="B737" s="25"/>
      <c r="C737" s="25" t="s">
        <v>3684</v>
      </c>
      <c r="D737" s="25"/>
      <c r="E737" s="25"/>
    </row>
    <row r="738" spans="1:5" s="15" customFormat="1" ht="12.95" customHeight="1">
      <c r="A738" s="25" t="s">
        <v>3685</v>
      </c>
      <c r="B738" s="25"/>
      <c r="C738" s="25" t="s">
        <v>3686</v>
      </c>
      <c r="D738" s="25"/>
      <c r="E738" s="25"/>
    </row>
    <row r="739" spans="1:5" s="15" customFormat="1" ht="12.95" customHeight="1">
      <c r="A739" s="25" t="s">
        <v>3687</v>
      </c>
      <c r="B739" s="25"/>
      <c r="C739" s="25" t="s">
        <v>3688</v>
      </c>
      <c r="D739" s="25"/>
      <c r="E739" s="25"/>
    </row>
    <row r="740" spans="1:5" s="15" customFormat="1" ht="12.95" customHeight="1">
      <c r="A740" s="25" t="s">
        <v>3689</v>
      </c>
      <c r="B740" s="25"/>
      <c r="C740" s="25" t="s">
        <v>3690</v>
      </c>
      <c r="D740" s="25"/>
      <c r="E740" s="25"/>
    </row>
    <row r="741" spans="1:5" s="15" customFormat="1" ht="12.95" customHeight="1">
      <c r="A741" s="25" t="s">
        <v>3691</v>
      </c>
      <c r="B741" s="25"/>
      <c r="C741" s="25" t="s">
        <v>3692</v>
      </c>
      <c r="D741" s="25"/>
      <c r="E741" s="25"/>
    </row>
    <row r="742" spans="1:5" s="15" customFormat="1" ht="12.95" customHeight="1">
      <c r="A742" s="25" t="s">
        <v>3693</v>
      </c>
      <c r="B742" s="25"/>
      <c r="C742" s="25" t="s">
        <v>3694</v>
      </c>
      <c r="D742" s="25"/>
      <c r="E742" s="25"/>
    </row>
    <row r="743" spans="1:5" s="15" customFormat="1" ht="12.95" customHeight="1">
      <c r="A743" s="25" t="s">
        <v>3695</v>
      </c>
      <c r="B743" s="25"/>
      <c r="C743" s="25" t="s">
        <v>3696</v>
      </c>
      <c r="D743" s="25"/>
      <c r="E743" s="25"/>
    </row>
    <row r="744" spans="1:5" s="15" customFormat="1" ht="12.95" customHeight="1">
      <c r="A744" s="25" t="s">
        <v>3697</v>
      </c>
      <c r="B744" s="25"/>
      <c r="C744" s="25" t="s">
        <v>3698</v>
      </c>
      <c r="D744" s="25"/>
      <c r="E744" s="25"/>
    </row>
    <row r="745" spans="1:5" s="15" customFormat="1" ht="12.95" customHeight="1">
      <c r="A745" s="25" t="s">
        <v>3699</v>
      </c>
      <c r="B745" s="25"/>
      <c r="C745" s="25" t="s">
        <v>3700</v>
      </c>
      <c r="D745" s="25"/>
      <c r="E745" s="25"/>
    </row>
    <row r="746" spans="1:5" s="15" customFormat="1" ht="12.95" customHeight="1">
      <c r="A746" s="25" t="s">
        <v>3701</v>
      </c>
      <c r="B746" s="25"/>
      <c r="C746" s="25" t="s">
        <v>3702</v>
      </c>
      <c r="D746" s="25"/>
      <c r="E746" s="25"/>
    </row>
    <row r="747" spans="1:5" s="15" customFormat="1" ht="12.95" customHeight="1">
      <c r="A747" s="25" t="s">
        <v>3703</v>
      </c>
      <c r="B747" s="25"/>
      <c r="C747" s="25" t="s">
        <v>3700</v>
      </c>
      <c r="D747" s="25"/>
      <c r="E747" s="25"/>
    </row>
    <row r="748" spans="1:5" s="15" customFormat="1" ht="12.95" customHeight="1">
      <c r="A748" s="25" t="s">
        <v>3704</v>
      </c>
      <c r="B748" s="25"/>
      <c r="C748" s="25" t="s">
        <v>3700</v>
      </c>
      <c r="D748" s="25"/>
      <c r="E748" s="25"/>
    </row>
    <row r="749" spans="1:5" s="15" customFormat="1" ht="12.95" customHeight="1">
      <c r="A749" s="25" t="s">
        <v>3705</v>
      </c>
      <c r="B749" s="25"/>
      <c r="C749" s="25" t="s">
        <v>3700</v>
      </c>
      <c r="D749" s="25"/>
      <c r="E749" s="25"/>
    </row>
    <row r="750" spans="1:5" s="15" customFormat="1" ht="12.95" customHeight="1">
      <c r="A750" s="25" t="s">
        <v>3706</v>
      </c>
      <c r="B750" s="25"/>
      <c r="C750" s="25" t="s">
        <v>3707</v>
      </c>
      <c r="D750" s="25"/>
      <c r="E750" s="25"/>
    </row>
    <row r="751" spans="1:5" s="15" customFormat="1" ht="12.95" customHeight="1">
      <c r="A751" s="25" t="s">
        <v>3708</v>
      </c>
      <c r="B751" s="25"/>
      <c r="C751" s="25" t="s">
        <v>3709</v>
      </c>
      <c r="D751" s="25"/>
      <c r="E751" s="25"/>
    </row>
    <row r="752" spans="1:5" s="15" customFormat="1" ht="12.95" customHeight="1">
      <c r="A752" s="25" t="s">
        <v>3710</v>
      </c>
      <c r="B752" s="25"/>
      <c r="C752" s="25" t="s">
        <v>3711</v>
      </c>
      <c r="D752" s="25"/>
      <c r="E752" s="25"/>
    </row>
    <row r="753" spans="1:5" s="15" customFormat="1" ht="12.95" customHeight="1">
      <c r="A753" s="25" t="s">
        <v>3712</v>
      </c>
      <c r="B753" s="25"/>
      <c r="C753" s="25" t="s">
        <v>3713</v>
      </c>
      <c r="D753" s="25"/>
      <c r="E753" s="25"/>
    </row>
    <row r="754" spans="1:5" s="15" customFormat="1" ht="12.95" customHeight="1">
      <c r="A754" s="25" t="s">
        <v>3714</v>
      </c>
      <c r="B754" s="25"/>
      <c r="C754" s="25" t="s">
        <v>3715</v>
      </c>
      <c r="D754" s="25"/>
      <c r="E754" s="25"/>
    </row>
    <row r="755" spans="1:5" s="15" customFormat="1" ht="12.95" customHeight="1">
      <c r="A755" s="25" t="s">
        <v>3716</v>
      </c>
      <c r="B755" s="25"/>
      <c r="C755" s="25" t="s">
        <v>3717</v>
      </c>
      <c r="D755" s="25"/>
      <c r="E755" s="25"/>
    </row>
    <row r="756" spans="1:5" s="15" customFormat="1" ht="12.95" customHeight="1">
      <c r="A756" s="25" t="s">
        <v>3718</v>
      </c>
      <c r="B756" s="25"/>
      <c r="C756" s="25" t="s">
        <v>3719</v>
      </c>
      <c r="D756" s="25"/>
      <c r="E756" s="25"/>
    </row>
    <row r="757" spans="1:5" s="15" customFormat="1" ht="12.95" customHeight="1">
      <c r="A757" s="25" t="s">
        <v>3720</v>
      </c>
      <c r="B757" s="25"/>
      <c r="C757" s="25" t="s">
        <v>3721</v>
      </c>
      <c r="D757" s="25"/>
      <c r="E757" s="25"/>
    </row>
    <row r="758" spans="1:5" s="15" customFormat="1" ht="12.95" customHeight="1">
      <c r="A758" s="25" t="s">
        <v>3722</v>
      </c>
      <c r="B758" s="25"/>
      <c r="C758" s="25" t="s">
        <v>3723</v>
      </c>
      <c r="D758" s="25"/>
      <c r="E758" s="25"/>
    </row>
    <row r="759" spans="1:5" s="15" customFormat="1" ht="12.95" customHeight="1">
      <c r="A759" s="25" t="s">
        <v>3724</v>
      </c>
      <c r="B759" s="25"/>
      <c r="C759" s="25" t="s">
        <v>3725</v>
      </c>
      <c r="D759" s="25"/>
      <c r="E759" s="25"/>
    </row>
    <row r="760" spans="1:5" s="15" customFormat="1" ht="12.95" customHeight="1">
      <c r="A760" s="25" t="s">
        <v>3726</v>
      </c>
      <c r="B760" s="25"/>
      <c r="C760" s="25" t="s">
        <v>3727</v>
      </c>
      <c r="D760" s="25"/>
      <c r="E760" s="25"/>
    </row>
    <row r="761" spans="1:5" s="15" customFormat="1" ht="12.95" customHeight="1">
      <c r="A761" s="25" t="s">
        <v>3728</v>
      </c>
      <c r="B761" s="25"/>
      <c r="C761" s="25" t="s">
        <v>3729</v>
      </c>
      <c r="D761" s="25"/>
      <c r="E761" s="25"/>
    </row>
    <row r="762" spans="1:5" s="15" customFormat="1" ht="12.95" customHeight="1">
      <c r="A762" s="25" t="s">
        <v>3730</v>
      </c>
      <c r="B762" s="25"/>
      <c r="C762" s="25" t="s">
        <v>3731</v>
      </c>
      <c r="D762" s="25"/>
      <c r="E762" s="25"/>
    </row>
    <row r="763" spans="1:5" s="15" customFormat="1" ht="12.95" customHeight="1">
      <c r="A763" s="25" t="s">
        <v>3732</v>
      </c>
      <c r="B763" s="25"/>
      <c r="C763" s="25" t="s">
        <v>3733</v>
      </c>
      <c r="D763" s="25"/>
      <c r="E763" s="25"/>
    </row>
    <row r="764" spans="1:5" s="15" customFormat="1" ht="12.95" customHeight="1">
      <c r="A764" s="25" t="s">
        <v>3734</v>
      </c>
      <c r="B764" s="25"/>
      <c r="C764" s="25" t="s">
        <v>3735</v>
      </c>
      <c r="D764" s="25"/>
      <c r="E764" s="25"/>
    </row>
    <row r="765" spans="1:5" s="15" customFormat="1" ht="12.95" customHeight="1">
      <c r="A765" s="25" t="s">
        <v>3736</v>
      </c>
      <c r="B765" s="25"/>
      <c r="C765" s="25" t="s">
        <v>3737</v>
      </c>
      <c r="D765" s="25"/>
      <c r="E765" s="25"/>
    </row>
    <row r="766" spans="1:5" s="15" customFormat="1" ht="12.95" customHeight="1">
      <c r="A766" s="25" t="s">
        <v>3738</v>
      </c>
      <c r="B766" s="25"/>
      <c r="C766" s="25" t="s">
        <v>3737</v>
      </c>
      <c r="D766" s="25"/>
      <c r="E766" s="25"/>
    </row>
    <row r="767" spans="1:5" s="15" customFormat="1" ht="12.95" customHeight="1">
      <c r="A767" s="25" t="s">
        <v>3739</v>
      </c>
      <c r="B767" s="25"/>
      <c r="C767" s="25" t="s">
        <v>3737</v>
      </c>
      <c r="D767" s="25"/>
      <c r="E767" s="25"/>
    </row>
    <row r="768" spans="1:5" s="15" customFormat="1" ht="12.95" customHeight="1">
      <c r="A768" s="25" t="s">
        <v>3740</v>
      </c>
      <c r="B768" s="25"/>
      <c r="C768" s="25" t="s">
        <v>3737</v>
      </c>
      <c r="D768" s="25"/>
      <c r="E768" s="25"/>
    </row>
    <row r="769" spans="1:5" s="15" customFormat="1" ht="12.95" customHeight="1">
      <c r="A769" s="25" t="s">
        <v>3741</v>
      </c>
      <c r="B769" s="25"/>
      <c r="C769" s="25" t="s">
        <v>3742</v>
      </c>
      <c r="D769" s="25"/>
      <c r="E769" s="25"/>
    </row>
    <row r="770" spans="1:5" s="15" customFormat="1" ht="12.95" customHeight="1">
      <c r="A770" s="25" t="s">
        <v>3743</v>
      </c>
      <c r="B770" s="25"/>
      <c r="C770" s="25" t="s">
        <v>3744</v>
      </c>
      <c r="D770" s="25"/>
      <c r="E770" s="25"/>
    </row>
    <row r="771" spans="1:5" s="15" customFormat="1" ht="12.95" customHeight="1">
      <c r="A771" s="25" t="s">
        <v>3745</v>
      </c>
      <c r="B771" s="25"/>
      <c r="C771" s="25" t="s">
        <v>3746</v>
      </c>
      <c r="D771" s="25"/>
      <c r="E771" s="25"/>
    </row>
    <row r="772" spans="1:5" s="15" customFormat="1" ht="12.95" customHeight="1">
      <c r="A772" s="25" t="s">
        <v>3747</v>
      </c>
      <c r="B772" s="25"/>
      <c r="C772" s="25" t="s">
        <v>3748</v>
      </c>
      <c r="D772" s="25"/>
      <c r="E772" s="25"/>
    </row>
    <row r="773" spans="1:5" s="15" customFormat="1" ht="12.95" customHeight="1">
      <c r="A773" s="25" t="s">
        <v>3749</v>
      </c>
      <c r="B773" s="25"/>
      <c r="C773" s="25" t="s">
        <v>3750</v>
      </c>
      <c r="D773" s="25"/>
      <c r="E773" s="25"/>
    </row>
    <row r="774" spans="1:5" s="15" customFormat="1" ht="12.95" customHeight="1">
      <c r="A774" s="25" t="s">
        <v>3751</v>
      </c>
      <c r="B774" s="25"/>
      <c r="C774" s="25" t="s">
        <v>3752</v>
      </c>
      <c r="D774" s="25"/>
      <c r="E774" s="25"/>
    </row>
    <row r="775" spans="1:5" s="15" customFormat="1" ht="12.95" customHeight="1">
      <c r="A775" s="25" t="s">
        <v>3753</v>
      </c>
      <c r="B775" s="25"/>
      <c r="C775" s="25" t="s">
        <v>3750</v>
      </c>
      <c r="D775" s="25"/>
      <c r="E775" s="25"/>
    </row>
    <row r="776" spans="1:5" s="15" customFormat="1" ht="12.95" customHeight="1">
      <c r="A776" s="25" t="s">
        <v>3754</v>
      </c>
      <c r="B776" s="25"/>
      <c r="C776" s="25" t="s">
        <v>3755</v>
      </c>
      <c r="D776" s="25"/>
      <c r="E776" s="25"/>
    </row>
    <row r="777" spans="1:5" s="15" customFormat="1" ht="12.95" customHeight="1">
      <c r="A777" s="25" t="s">
        <v>3756</v>
      </c>
      <c r="B777" s="25"/>
      <c r="C777" s="25" t="s">
        <v>3757</v>
      </c>
      <c r="D777" s="25"/>
      <c r="E777" s="25"/>
    </row>
    <row r="778" spans="1:5" s="15" customFormat="1" ht="12.95" customHeight="1">
      <c r="A778" s="25" t="s">
        <v>3758</v>
      </c>
      <c r="B778" s="25"/>
      <c r="C778" s="25" t="s">
        <v>3759</v>
      </c>
      <c r="D778" s="25"/>
      <c r="E778" s="25"/>
    </row>
    <row r="779" spans="1:5" s="15" customFormat="1" ht="12.95" customHeight="1">
      <c r="A779" s="25" t="s">
        <v>3760</v>
      </c>
      <c r="B779" s="25"/>
      <c r="C779" s="25" t="s">
        <v>3761</v>
      </c>
      <c r="D779" s="25"/>
      <c r="E779" s="25"/>
    </row>
    <row r="780" spans="1:5" s="15" customFormat="1" ht="12.95" customHeight="1">
      <c r="A780" s="25" t="s">
        <v>3762</v>
      </c>
      <c r="B780" s="25"/>
      <c r="C780" s="25" t="s">
        <v>3763</v>
      </c>
      <c r="D780" s="25"/>
      <c r="E780" s="25"/>
    </row>
    <row r="781" spans="1:5" s="15" customFormat="1" ht="12.95" customHeight="1">
      <c r="A781" s="25" t="s">
        <v>3764</v>
      </c>
      <c r="B781" s="25"/>
      <c r="C781" s="25" t="s">
        <v>3765</v>
      </c>
      <c r="D781" s="25"/>
      <c r="E781" s="25"/>
    </row>
    <row r="782" spans="1:5" s="15" customFormat="1" ht="12.95" customHeight="1">
      <c r="A782" s="25" t="s">
        <v>3766</v>
      </c>
      <c r="B782" s="25"/>
      <c r="C782" s="25" t="s">
        <v>3767</v>
      </c>
      <c r="D782" s="25"/>
      <c r="E782" s="25"/>
    </row>
    <row r="783" spans="1:5" s="15" customFormat="1" ht="12.95" customHeight="1">
      <c r="A783" s="25" t="s">
        <v>3768</v>
      </c>
      <c r="B783" s="25"/>
      <c r="C783" s="25" t="s">
        <v>3769</v>
      </c>
      <c r="D783" s="25"/>
      <c r="E783" s="25"/>
    </row>
    <row r="784" spans="1:5" s="15" customFormat="1" ht="12.95" customHeight="1">
      <c r="A784" s="25" t="s">
        <v>3770</v>
      </c>
      <c r="B784" s="25"/>
      <c r="C784" s="25" t="s">
        <v>3771</v>
      </c>
      <c r="D784" s="25"/>
      <c r="E784" s="25"/>
    </row>
    <row r="785" spans="1:5" s="15" customFormat="1" ht="12.95" customHeight="1">
      <c r="A785" s="25" t="s">
        <v>3772</v>
      </c>
      <c r="B785" s="25"/>
      <c r="C785" s="25" t="s">
        <v>3773</v>
      </c>
      <c r="D785" s="25"/>
      <c r="E785" s="25"/>
    </row>
    <row r="786" spans="1:5" s="15" customFormat="1" ht="12.95" customHeight="1">
      <c r="A786" s="25" t="s">
        <v>3772</v>
      </c>
      <c r="B786" s="25"/>
      <c r="C786" s="25" t="s">
        <v>3773</v>
      </c>
      <c r="D786" s="25"/>
      <c r="E786" s="25"/>
    </row>
    <row r="787" spans="1:5" s="15" customFormat="1" ht="12.95" customHeight="1">
      <c r="A787" s="25" t="s">
        <v>1050</v>
      </c>
      <c r="B787" s="25"/>
      <c r="C787" s="25" t="s">
        <v>57</v>
      </c>
      <c r="D787" s="25"/>
      <c r="E787" s="25"/>
    </row>
    <row r="788" spans="1:5" s="15" customFormat="1" ht="12.95" customHeight="1">
      <c r="A788" s="25" t="s">
        <v>3774</v>
      </c>
      <c r="B788" s="25"/>
      <c r="C788" s="25" t="s">
        <v>3775</v>
      </c>
      <c r="D788" s="25"/>
      <c r="E788" s="25"/>
    </row>
    <row r="789" spans="1:5" s="15" customFormat="1" ht="12.95" customHeight="1">
      <c r="A789" s="25" t="s">
        <v>3776</v>
      </c>
      <c r="B789" s="25"/>
      <c r="C789" s="25" t="s">
        <v>57</v>
      </c>
      <c r="D789" s="25"/>
      <c r="E789" s="25"/>
    </row>
    <row r="790" spans="1:5" s="15" customFormat="1" ht="12.95" customHeight="1">
      <c r="A790" s="25" t="s">
        <v>3777</v>
      </c>
      <c r="B790" s="25"/>
      <c r="C790" s="25" t="s">
        <v>3775</v>
      </c>
      <c r="D790" s="25"/>
      <c r="E790" s="25"/>
    </row>
    <row r="791" spans="1:5" s="15" customFormat="1" ht="12.95" customHeight="1">
      <c r="A791" s="25" t="s">
        <v>3778</v>
      </c>
      <c r="B791" s="25"/>
      <c r="C791" s="25" t="s">
        <v>3779</v>
      </c>
      <c r="D791" s="25"/>
      <c r="E791" s="25"/>
    </row>
    <row r="792" spans="1:5" s="15" customFormat="1" ht="12.95" customHeight="1">
      <c r="A792" s="25" t="s">
        <v>3780</v>
      </c>
      <c r="B792" s="25"/>
      <c r="C792" s="25" t="s">
        <v>3781</v>
      </c>
      <c r="D792" s="25"/>
      <c r="E792" s="25"/>
    </row>
    <row r="793" spans="1:5" s="15" customFormat="1" ht="12.95" customHeight="1">
      <c r="A793" s="25" t="s">
        <v>3782</v>
      </c>
      <c r="B793" s="25"/>
      <c r="C793" s="25" t="s">
        <v>3783</v>
      </c>
      <c r="D793" s="25"/>
      <c r="E793" s="25"/>
    </row>
    <row r="794" spans="1:5" s="15" customFormat="1" ht="12.95" customHeight="1">
      <c r="A794" s="25" t="s">
        <v>3784</v>
      </c>
      <c r="B794" s="25"/>
      <c r="C794" s="25" t="s">
        <v>3785</v>
      </c>
      <c r="D794" s="25"/>
      <c r="E794" s="25"/>
    </row>
    <row r="795" spans="1:5" s="15" customFormat="1" ht="12.95" customHeight="1">
      <c r="A795" s="25" t="s">
        <v>3786</v>
      </c>
      <c r="B795" s="25"/>
      <c r="C795" s="25" t="s">
        <v>3787</v>
      </c>
      <c r="D795" s="25"/>
      <c r="E795" s="25"/>
    </row>
    <row r="796" spans="1:5" s="15" customFormat="1" ht="12.95" customHeight="1">
      <c r="A796" s="25" t="s">
        <v>3788</v>
      </c>
      <c r="B796" s="25"/>
      <c r="C796" s="25" t="s">
        <v>3789</v>
      </c>
      <c r="D796" s="25"/>
      <c r="E796" s="25"/>
    </row>
    <row r="797" spans="1:5" s="15" customFormat="1" ht="12.95" customHeight="1">
      <c r="A797" s="25" t="s">
        <v>3790</v>
      </c>
      <c r="B797" s="25"/>
      <c r="C797" s="25" t="s">
        <v>3791</v>
      </c>
      <c r="D797" s="25"/>
      <c r="E797" s="25"/>
    </row>
    <row r="798" spans="1:5" s="15" customFormat="1" ht="12.95" customHeight="1">
      <c r="A798" s="25" t="s">
        <v>3792</v>
      </c>
      <c r="B798" s="25"/>
      <c r="C798" s="25" t="s">
        <v>3793</v>
      </c>
      <c r="D798" s="25"/>
      <c r="E798" s="25"/>
    </row>
    <row r="799" spans="1:5" s="15" customFormat="1" ht="12.95" customHeight="1">
      <c r="A799" s="25" t="s">
        <v>3794</v>
      </c>
      <c r="B799" s="25"/>
      <c r="C799" s="25" t="s">
        <v>3795</v>
      </c>
      <c r="D799" s="25"/>
      <c r="E799" s="25"/>
    </row>
    <row r="800" spans="1:5" s="15" customFormat="1" ht="12.95" customHeight="1">
      <c r="A800" s="25" t="s">
        <v>3796</v>
      </c>
      <c r="B800" s="25"/>
      <c r="C800" s="25" t="s">
        <v>3797</v>
      </c>
      <c r="D800" s="25"/>
      <c r="E800" s="25"/>
    </row>
    <row r="801" spans="1:5" s="15" customFormat="1" ht="12.95" customHeight="1">
      <c r="A801" s="25" t="s">
        <v>3798</v>
      </c>
      <c r="B801" s="25"/>
      <c r="C801" s="25" t="s">
        <v>3799</v>
      </c>
      <c r="D801" s="25"/>
      <c r="E801" s="25"/>
    </row>
    <row r="802" spans="1:5" s="15" customFormat="1" ht="12.95" customHeight="1">
      <c r="A802" s="25" t="s">
        <v>3800</v>
      </c>
      <c r="B802" s="25"/>
      <c r="C802" s="25" t="s">
        <v>3801</v>
      </c>
      <c r="D802" s="25"/>
      <c r="E802" s="25"/>
    </row>
    <row r="803" spans="1:5" s="15" customFormat="1" ht="12.95" customHeight="1">
      <c r="A803" s="25" t="s">
        <v>3802</v>
      </c>
      <c r="B803" s="25"/>
      <c r="C803" s="25" t="s">
        <v>3803</v>
      </c>
      <c r="D803" s="25"/>
      <c r="E803" s="25"/>
    </row>
    <row r="804" spans="1:5" s="15" customFormat="1" ht="12.95" customHeight="1">
      <c r="A804" s="25" t="s">
        <v>2428</v>
      </c>
      <c r="B804" s="25"/>
      <c r="C804" s="25" t="s">
        <v>3804</v>
      </c>
      <c r="D804" s="25"/>
      <c r="E804" s="25"/>
    </row>
    <row r="805" spans="1:5" s="15" customFormat="1" ht="12.95" customHeight="1">
      <c r="A805" s="25" t="s">
        <v>3805</v>
      </c>
      <c r="B805" s="25"/>
      <c r="C805" s="25" t="s">
        <v>3806</v>
      </c>
      <c r="D805" s="25"/>
      <c r="E805" s="25"/>
    </row>
    <row r="806" spans="1:5" s="15" customFormat="1" ht="12.95" customHeight="1">
      <c r="A806" s="25" t="s">
        <v>3807</v>
      </c>
      <c r="B806" s="25"/>
      <c r="C806" s="25" t="s">
        <v>3808</v>
      </c>
      <c r="D806" s="25"/>
      <c r="E806" s="25"/>
    </row>
    <row r="807" spans="1:5" s="15" customFormat="1" ht="12.95" customHeight="1">
      <c r="A807" s="25" t="s">
        <v>3809</v>
      </c>
      <c r="B807" s="25"/>
      <c r="C807" s="25" t="s">
        <v>3801</v>
      </c>
      <c r="D807" s="25"/>
      <c r="E807" s="25"/>
    </row>
    <row r="808" spans="1:5" s="15" customFormat="1" ht="12.95" customHeight="1">
      <c r="A808" s="25" t="s">
        <v>3810</v>
      </c>
      <c r="B808" s="25"/>
      <c r="C808" s="25" t="s">
        <v>3803</v>
      </c>
      <c r="D808" s="25"/>
      <c r="E808" s="25"/>
    </row>
    <row r="809" spans="1:5" s="15" customFormat="1" ht="12.95" customHeight="1">
      <c r="A809" s="25" t="s">
        <v>3811</v>
      </c>
      <c r="B809" s="25"/>
      <c r="C809" s="25" t="s">
        <v>3804</v>
      </c>
      <c r="D809" s="25"/>
      <c r="E809" s="25"/>
    </row>
    <row r="810" spans="1:5" s="15" customFormat="1" ht="12.95" customHeight="1">
      <c r="A810" s="25" t="s">
        <v>3812</v>
      </c>
      <c r="B810" s="25"/>
      <c r="C810" s="25" t="s">
        <v>3806</v>
      </c>
      <c r="D810" s="25"/>
      <c r="E810" s="25"/>
    </row>
    <row r="811" spans="1:5" s="15" customFormat="1" ht="12.95" customHeight="1">
      <c r="A811" s="25" t="s">
        <v>3813</v>
      </c>
      <c r="B811" s="25"/>
      <c r="C811" s="25" t="s">
        <v>3814</v>
      </c>
      <c r="D811" s="25"/>
      <c r="E811" s="25"/>
    </row>
    <row r="812" spans="1:5" s="15" customFormat="1" ht="12.95" customHeight="1">
      <c r="A812" s="25" t="s">
        <v>3815</v>
      </c>
      <c r="B812" s="25"/>
      <c r="C812" s="25" t="s">
        <v>3808</v>
      </c>
      <c r="D812" s="25"/>
      <c r="E812" s="25"/>
    </row>
    <row r="813" spans="1:5" s="15" customFormat="1" ht="12.95" customHeight="1">
      <c r="A813" s="25" t="s">
        <v>3816</v>
      </c>
      <c r="B813" s="25"/>
      <c r="C813" s="25" t="s">
        <v>3817</v>
      </c>
      <c r="D813" s="25"/>
      <c r="E813" s="25"/>
    </row>
    <row r="814" spans="1:5" s="15" customFormat="1" ht="12.95" customHeight="1">
      <c r="A814" s="25" t="s">
        <v>332</v>
      </c>
      <c r="B814" s="25"/>
      <c r="C814" s="25" t="s">
        <v>3818</v>
      </c>
      <c r="D814" s="25"/>
      <c r="E814" s="25"/>
    </row>
    <row r="815" spans="1:5" s="15" customFormat="1" ht="12.95" customHeight="1">
      <c r="A815" s="25" t="s">
        <v>3819</v>
      </c>
      <c r="B815" s="25"/>
      <c r="C815" s="25" t="s">
        <v>3820</v>
      </c>
      <c r="D815" s="25"/>
      <c r="E815" s="25"/>
    </row>
    <row r="816" spans="1:5" s="15" customFormat="1" ht="12.95" customHeight="1">
      <c r="A816" s="25" t="s">
        <v>3821</v>
      </c>
      <c r="B816" s="25"/>
      <c r="C816" s="25" t="s">
        <v>3822</v>
      </c>
      <c r="D816" s="25"/>
      <c r="E816" s="25"/>
    </row>
    <row r="817" spans="1:5" s="15" customFormat="1" ht="12.95" customHeight="1">
      <c r="A817" s="25" t="s">
        <v>3823</v>
      </c>
      <c r="B817" s="25"/>
      <c r="C817" s="25" t="s">
        <v>3824</v>
      </c>
      <c r="D817" s="25"/>
      <c r="E817" s="25"/>
    </row>
    <row r="818" spans="1:5" s="15" customFormat="1" ht="12.95" customHeight="1">
      <c r="A818" s="25" t="s">
        <v>152</v>
      </c>
      <c r="B818" s="25"/>
      <c r="C818" s="25" t="s">
        <v>3801</v>
      </c>
      <c r="D818" s="25"/>
      <c r="E818" s="25"/>
    </row>
    <row r="819" spans="1:5" s="15" customFormat="1" ht="12.95" customHeight="1">
      <c r="A819" s="25" t="s">
        <v>3825</v>
      </c>
      <c r="B819" s="25"/>
      <c r="C819" s="25" t="s">
        <v>3822</v>
      </c>
      <c r="D819" s="25"/>
      <c r="E819" s="25"/>
    </row>
    <row r="820" spans="1:5" s="15" customFormat="1" ht="12.95" customHeight="1">
      <c r="A820" s="25" t="s">
        <v>3826</v>
      </c>
      <c r="B820" s="25"/>
      <c r="C820" s="25" t="s">
        <v>3827</v>
      </c>
      <c r="D820" s="25"/>
      <c r="E820" s="25"/>
    </row>
    <row r="821" spans="1:5" s="15" customFormat="1" ht="12.95" customHeight="1">
      <c r="A821" s="25" t="s">
        <v>3826</v>
      </c>
      <c r="B821" s="25"/>
      <c r="C821" s="25" t="s">
        <v>3827</v>
      </c>
      <c r="D821" s="25"/>
      <c r="E821" s="25"/>
    </row>
    <row r="822" spans="1:5" s="15" customFormat="1" ht="12.95" customHeight="1">
      <c r="A822" s="25" t="s">
        <v>3828</v>
      </c>
      <c r="B822" s="25"/>
      <c r="C822" s="25" t="s">
        <v>3829</v>
      </c>
      <c r="D822" s="25"/>
      <c r="E822" s="25"/>
    </row>
    <row r="823" spans="1:5" s="15" customFormat="1" ht="12.95" customHeight="1">
      <c r="A823" s="25" t="s">
        <v>3830</v>
      </c>
      <c r="B823" s="25"/>
      <c r="C823" s="25" t="s">
        <v>3831</v>
      </c>
      <c r="D823" s="25"/>
      <c r="E823" s="25"/>
    </row>
    <row r="824" spans="1:5" s="15" customFormat="1" ht="12.95" customHeight="1">
      <c r="A824" s="25" t="s">
        <v>3832</v>
      </c>
      <c r="B824" s="25"/>
      <c r="C824" s="25" t="s">
        <v>3833</v>
      </c>
      <c r="D824" s="25"/>
      <c r="E824" s="25"/>
    </row>
    <row r="825" spans="1:5" s="15" customFormat="1" ht="12.95" customHeight="1">
      <c r="A825" s="25" t="s">
        <v>3834</v>
      </c>
      <c r="B825" s="25"/>
      <c r="C825" s="25" t="s">
        <v>3835</v>
      </c>
      <c r="D825" s="25"/>
      <c r="E825" s="25"/>
    </row>
    <row r="826" spans="1:5" s="15" customFormat="1" ht="12.95" customHeight="1">
      <c r="A826" s="25" t="s">
        <v>3836</v>
      </c>
      <c r="B826" s="25"/>
      <c r="C826" s="25" t="s">
        <v>3831</v>
      </c>
      <c r="D826" s="25"/>
      <c r="E826" s="25"/>
    </row>
    <row r="827" spans="1:5" s="15" customFormat="1" ht="12.95" customHeight="1">
      <c r="A827" s="25" t="s">
        <v>3837</v>
      </c>
      <c r="B827" s="25"/>
      <c r="C827" s="25" t="s">
        <v>3838</v>
      </c>
      <c r="D827" s="25"/>
      <c r="E827" s="25"/>
    </row>
    <row r="828" spans="1:5" s="15" customFormat="1" ht="12.95" customHeight="1">
      <c r="A828" s="25" t="s">
        <v>3839</v>
      </c>
      <c r="B828" s="25"/>
      <c r="C828" s="25" t="s">
        <v>3835</v>
      </c>
      <c r="D828" s="25"/>
      <c r="E828" s="25"/>
    </row>
    <row r="829" spans="1:5" s="15" customFormat="1" ht="12.95" customHeight="1">
      <c r="A829" s="25" t="s">
        <v>3840</v>
      </c>
      <c r="B829" s="25"/>
      <c r="C829" s="25" t="s">
        <v>3831</v>
      </c>
      <c r="D829" s="25"/>
      <c r="E829" s="25"/>
    </row>
    <row r="830" spans="1:5" s="15" customFormat="1" ht="12.95" customHeight="1">
      <c r="A830" s="25" t="s">
        <v>3841</v>
      </c>
      <c r="B830" s="25"/>
      <c r="C830" s="25" t="s">
        <v>3838</v>
      </c>
      <c r="D830" s="25"/>
      <c r="E830" s="25"/>
    </row>
    <row r="831" spans="1:5" s="15" customFormat="1" ht="12.95" customHeight="1">
      <c r="A831" s="25" t="s">
        <v>3842</v>
      </c>
      <c r="B831" s="25"/>
      <c r="C831" s="25" t="s">
        <v>3843</v>
      </c>
      <c r="D831" s="25"/>
      <c r="E831" s="25"/>
    </row>
    <row r="832" spans="1:5" s="15" customFormat="1" ht="12.95" customHeight="1">
      <c r="A832" s="25" t="s">
        <v>3844</v>
      </c>
      <c r="B832" s="25"/>
      <c r="C832" s="25" t="s">
        <v>3843</v>
      </c>
      <c r="D832" s="25"/>
      <c r="E832" s="25"/>
    </row>
    <row r="833" spans="1:5" s="15" customFormat="1" ht="12.95" customHeight="1">
      <c r="A833" s="25" t="s">
        <v>3845</v>
      </c>
      <c r="B833" s="25"/>
      <c r="C833" s="25" t="s">
        <v>3846</v>
      </c>
      <c r="D833" s="25"/>
      <c r="E833" s="25"/>
    </row>
    <row r="834" spans="1:5" s="15" customFormat="1" ht="12.95" customHeight="1">
      <c r="A834" s="25" t="s">
        <v>3847</v>
      </c>
      <c r="B834" s="25"/>
      <c r="C834" s="25" t="s">
        <v>3848</v>
      </c>
      <c r="D834" s="25"/>
      <c r="E834" s="25"/>
    </row>
    <row r="835" spans="1:5" s="15" customFormat="1" ht="12.95" customHeight="1">
      <c r="A835" s="25" t="s">
        <v>3849</v>
      </c>
      <c r="B835" s="25"/>
      <c r="C835" s="25" t="s">
        <v>3850</v>
      </c>
      <c r="D835" s="25"/>
      <c r="E835" s="25"/>
    </row>
    <row r="836" spans="1:5" s="15" customFormat="1" ht="12.95" customHeight="1">
      <c r="A836" s="25" t="s">
        <v>3851</v>
      </c>
      <c r="B836" s="25"/>
      <c r="C836" s="25" t="s">
        <v>3850</v>
      </c>
      <c r="D836" s="25"/>
      <c r="E836" s="25"/>
    </row>
    <row r="837" spans="1:5" s="15" customFormat="1" ht="12.95" customHeight="1">
      <c r="A837" s="25" t="s">
        <v>3852</v>
      </c>
      <c r="B837" s="25"/>
      <c r="C837" s="25" t="s">
        <v>3853</v>
      </c>
      <c r="D837" s="25"/>
      <c r="E837" s="25"/>
    </row>
    <row r="838" spans="1:5" s="15" customFormat="1" ht="12.95" customHeight="1">
      <c r="A838" s="25" t="s">
        <v>3854</v>
      </c>
      <c r="B838" s="25"/>
      <c r="C838" s="25" t="s">
        <v>3848</v>
      </c>
      <c r="D838" s="25"/>
      <c r="E838" s="25"/>
    </row>
    <row r="839" spans="1:5" s="15" customFormat="1" ht="12.95" customHeight="1">
      <c r="A839" s="25" t="s">
        <v>3855</v>
      </c>
      <c r="B839" s="25"/>
      <c r="C839" s="25" t="s">
        <v>3856</v>
      </c>
      <c r="D839" s="25"/>
      <c r="E839" s="25"/>
    </row>
    <row r="840" spans="1:5" s="15" customFormat="1" ht="12.95" customHeight="1">
      <c r="A840" s="25" t="s">
        <v>3857</v>
      </c>
      <c r="B840" s="25"/>
      <c r="C840" s="25" t="s">
        <v>3858</v>
      </c>
      <c r="D840" s="25"/>
      <c r="E840" s="25"/>
    </row>
    <row r="841" spans="1:5" s="15" customFormat="1" ht="12.95" customHeight="1">
      <c r="A841" s="25" t="s">
        <v>3859</v>
      </c>
      <c r="B841" s="25"/>
      <c r="C841" s="25" t="s">
        <v>3850</v>
      </c>
      <c r="D841" s="25"/>
      <c r="E841" s="25"/>
    </row>
    <row r="842" spans="1:5" s="15" customFormat="1" ht="12.95" customHeight="1">
      <c r="A842" s="25" t="s">
        <v>3860</v>
      </c>
      <c r="B842" s="25"/>
      <c r="C842" s="25" t="s">
        <v>3861</v>
      </c>
      <c r="D842" s="25"/>
      <c r="E842" s="25"/>
    </row>
    <row r="843" spans="1:5" s="15" customFormat="1" ht="12.95" customHeight="1">
      <c r="A843" s="25" t="s">
        <v>3862</v>
      </c>
      <c r="B843" s="25"/>
      <c r="C843" s="25" t="s">
        <v>3863</v>
      </c>
      <c r="D843" s="25"/>
      <c r="E843" s="25"/>
    </row>
    <row r="844" spans="1:5" s="15" customFormat="1" ht="12.95" customHeight="1">
      <c r="A844" s="25" t="s">
        <v>3864</v>
      </c>
      <c r="B844" s="25"/>
      <c r="C844" s="25" t="s">
        <v>3865</v>
      </c>
      <c r="D844" s="25"/>
      <c r="E844" s="25"/>
    </row>
    <row r="845" spans="1:5" s="15" customFormat="1" ht="12.95" customHeight="1">
      <c r="A845" s="25" t="s">
        <v>3866</v>
      </c>
      <c r="B845" s="25"/>
      <c r="C845" s="25" t="s">
        <v>3867</v>
      </c>
      <c r="D845" s="25"/>
      <c r="E845" s="25"/>
    </row>
    <row r="846" spans="1:5" s="15" customFormat="1" ht="12.95" customHeight="1">
      <c r="A846" s="25" t="s">
        <v>3868</v>
      </c>
      <c r="B846" s="25"/>
      <c r="C846" s="25" t="s">
        <v>3869</v>
      </c>
      <c r="D846" s="25"/>
      <c r="E846" s="25"/>
    </row>
    <row r="847" spans="1:5" s="15" customFormat="1" ht="12.95" customHeight="1">
      <c r="A847" s="25" t="s">
        <v>3870</v>
      </c>
      <c r="B847" s="25"/>
      <c r="C847" s="25" t="s">
        <v>3871</v>
      </c>
      <c r="D847" s="25"/>
      <c r="E847" s="25"/>
    </row>
    <row r="848" spans="1:5" s="15" customFormat="1" ht="12.95" customHeight="1">
      <c r="A848" s="25" t="s">
        <v>3872</v>
      </c>
      <c r="B848" s="25"/>
      <c r="C848" s="25" t="s">
        <v>3873</v>
      </c>
      <c r="D848" s="25"/>
      <c r="E848" s="25"/>
    </row>
    <row r="849" spans="1:5" s="15" customFormat="1" ht="12.95" customHeight="1">
      <c r="A849" s="25" t="s">
        <v>3874</v>
      </c>
      <c r="B849" s="25"/>
      <c r="C849" s="25" t="s">
        <v>3863</v>
      </c>
      <c r="D849" s="25"/>
      <c r="E849" s="25"/>
    </row>
    <row r="850" spans="1:5" s="15" customFormat="1" ht="12.95" customHeight="1">
      <c r="A850" s="25" t="s">
        <v>3875</v>
      </c>
      <c r="B850" s="25"/>
      <c r="C850" s="25" t="s">
        <v>3865</v>
      </c>
      <c r="D850" s="25"/>
      <c r="E850" s="25"/>
    </row>
    <row r="851" spans="1:5" s="15" customFormat="1" ht="12.95" customHeight="1">
      <c r="A851" s="25" t="s">
        <v>3876</v>
      </c>
      <c r="B851" s="25"/>
      <c r="C851" s="25" t="s">
        <v>3877</v>
      </c>
      <c r="D851" s="25"/>
      <c r="E851" s="25"/>
    </row>
    <row r="852" spans="1:5" s="15" customFormat="1" ht="12.95" customHeight="1">
      <c r="A852" s="25" t="s">
        <v>3878</v>
      </c>
      <c r="B852" s="25"/>
      <c r="C852" s="25" t="s">
        <v>3879</v>
      </c>
      <c r="D852" s="25"/>
      <c r="E852" s="25"/>
    </row>
    <row r="853" spans="1:5" s="15" customFormat="1" ht="12.95" customHeight="1">
      <c r="A853" s="25" t="s">
        <v>3880</v>
      </c>
      <c r="B853" s="25"/>
      <c r="C853" s="25" t="s">
        <v>3879</v>
      </c>
      <c r="D853" s="25"/>
      <c r="E853" s="25"/>
    </row>
    <row r="854" spans="1:5" s="15" customFormat="1" ht="12.95" customHeight="1">
      <c r="A854" s="25" t="s">
        <v>3881</v>
      </c>
      <c r="B854" s="25"/>
      <c r="C854" s="25" t="s">
        <v>3882</v>
      </c>
      <c r="D854" s="25"/>
      <c r="E854" s="25"/>
    </row>
    <row r="855" spans="1:5" s="15" customFormat="1" ht="12.95" customHeight="1">
      <c r="A855" s="25" t="s">
        <v>3883</v>
      </c>
      <c r="B855" s="25"/>
      <c r="C855" s="25" t="s">
        <v>3884</v>
      </c>
      <c r="D855" s="25"/>
      <c r="E855" s="25"/>
    </row>
    <row r="856" spans="1:5" s="15" customFormat="1" ht="12.95" customHeight="1">
      <c r="A856" s="25" t="s">
        <v>3885</v>
      </c>
      <c r="B856" s="25"/>
      <c r="C856" s="25" t="s">
        <v>3886</v>
      </c>
      <c r="D856" s="25"/>
      <c r="E856" s="25"/>
    </row>
    <row r="857" spans="1:5" s="15" customFormat="1" ht="12.95" customHeight="1">
      <c r="A857" s="25" t="s">
        <v>3887</v>
      </c>
      <c r="B857" s="25"/>
      <c r="C857" s="25" t="s">
        <v>3888</v>
      </c>
      <c r="D857" s="25"/>
      <c r="E857" s="25"/>
    </row>
    <row r="858" spans="1:5" s="15" customFormat="1" ht="12.95" customHeight="1">
      <c r="A858" s="25" t="s">
        <v>3889</v>
      </c>
      <c r="B858" s="25"/>
      <c r="C858" s="25" t="s">
        <v>3890</v>
      </c>
      <c r="D858" s="25"/>
      <c r="E858" s="25"/>
    </row>
    <row r="859" spans="1:5" s="15" customFormat="1" ht="12.95" customHeight="1">
      <c r="A859" s="25" t="s">
        <v>3891</v>
      </c>
      <c r="B859" s="25"/>
      <c r="C859" s="25" t="s">
        <v>3884</v>
      </c>
      <c r="D859" s="25"/>
      <c r="E859" s="25"/>
    </row>
    <row r="860" spans="1:5" s="15" customFormat="1" ht="12.95" customHeight="1">
      <c r="A860" s="25" t="s">
        <v>3892</v>
      </c>
      <c r="B860" s="25"/>
      <c r="C860" s="25" t="s">
        <v>3886</v>
      </c>
      <c r="D860" s="25"/>
      <c r="E860" s="25"/>
    </row>
    <row r="861" spans="1:5" s="15" customFormat="1" ht="12.95" customHeight="1">
      <c r="A861" s="25" t="s">
        <v>3893</v>
      </c>
      <c r="B861" s="25"/>
      <c r="C861" s="25" t="s">
        <v>3894</v>
      </c>
      <c r="D861" s="25"/>
      <c r="E861" s="25"/>
    </row>
    <row r="862" spans="1:5" s="15" customFormat="1" ht="12.95" customHeight="1">
      <c r="A862" s="25" t="s">
        <v>3895</v>
      </c>
      <c r="B862" s="25"/>
      <c r="C862" s="25" t="s">
        <v>3888</v>
      </c>
      <c r="D862" s="25"/>
      <c r="E862" s="25"/>
    </row>
    <row r="863" spans="1:5" s="15" customFormat="1" ht="12.95" customHeight="1">
      <c r="A863" s="25" t="s">
        <v>3896</v>
      </c>
      <c r="B863" s="25"/>
      <c r="C863" s="25" t="s">
        <v>3890</v>
      </c>
      <c r="D863" s="25"/>
      <c r="E863" s="25"/>
    </row>
    <row r="864" spans="1:5" s="15" customFormat="1" ht="12.95" customHeight="1">
      <c r="A864" s="25" t="s">
        <v>3897</v>
      </c>
      <c r="B864" s="25"/>
      <c r="C864" s="25" t="s">
        <v>3898</v>
      </c>
      <c r="D864" s="25"/>
      <c r="E864" s="25"/>
    </row>
    <row r="865" spans="1:5" s="15" customFormat="1" ht="12.95" customHeight="1">
      <c r="A865" s="25" t="s">
        <v>3899</v>
      </c>
      <c r="B865" s="25"/>
      <c r="C865" s="25" t="s">
        <v>3900</v>
      </c>
      <c r="D865" s="25"/>
      <c r="E865" s="25"/>
    </row>
    <row r="866" spans="1:5" s="15" customFormat="1" ht="12.95" customHeight="1">
      <c r="A866" s="25" t="s">
        <v>3901</v>
      </c>
      <c r="B866" s="25"/>
      <c r="C866" s="25" t="s">
        <v>3902</v>
      </c>
      <c r="D866" s="25"/>
      <c r="E866" s="25"/>
    </row>
    <row r="867" spans="1:5" s="15" customFormat="1" ht="12.95" customHeight="1">
      <c r="A867" s="25" t="s">
        <v>3903</v>
      </c>
      <c r="B867" s="25"/>
      <c r="C867" s="25" t="s">
        <v>3904</v>
      </c>
      <c r="D867" s="25"/>
      <c r="E867" s="25"/>
    </row>
    <row r="868" spans="1:5" s="15" customFormat="1" ht="12.95" customHeight="1">
      <c r="A868" s="25" t="s">
        <v>3905</v>
      </c>
      <c r="B868" s="25"/>
      <c r="C868" s="25" t="s">
        <v>3906</v>
      </c>
      <c r="D868" s="25"/>
      <c r="E868" s="25"/>
    </row>
    <row r="869" spans="1:5" s="15" customFormat="1" ht="12.95" customHeight="1">
      <c r="A869" s="25" t="s">
        <v>3907</v>
      </c>
      <c r="B869" s="25"/>
      <c r="C869" s="25" t="s">
        <v>3908</v>
      </c>
      <c r="D869" s="25"/>
      <c r="E869" s="25"/>
    </row>
    <row r="870" spans="1:5" s="15" customFormat="1" ht="12.95" customHeight="1">
      <c r="A870" s="25" t="s">
        <v>3909</v>
      </c>
      <c r="B870" s="25"/>
      <c r="C870" s="25" t="s">
        <v>3910</v>
      </c>
      <c r="D870" s="25"/>
      <c r="E870" s="25"/>
    </row>
    <row r="871" spans="1:5" s="15" customFormat="1" ht="12.95" customHeight="1">
      <c r="A871" s="25" t="s">
        <v>3911</v>
      </c>
      <c r="B871" s="25"/>
      <c r="C871" s="25" t="s">
        <v>3912</v>
      </c>
      <c r="D871" s="25"/>
      <c r="E871" s="25"/>
    </row>
    <row r="872" spans="1:5" s="15" customFormat="1" ht="12.95" customHeight="1">
      <c r="A872" s="25" t="s">
        <v>3913</v>
      </c>
      <c r="B872" s="25"/>
      <c r="C872" s="25" t="s">
        <v>3914</v>
      </c>
      <c r="D872" s="25"/>
      <c r="E872" s="25"/>
    </row>
    <row r="873" spans="1:5" s="15" customFormat="1" ht="12.95" customHeight="1">
      <c r="A873" s="25" t="s">
        <v>3915</v>
      </c>
      <c r="B873" s="25"/>
      <c r="C873" s="25" t="s">
        <v>3916</v>
      </c>
      <c r="D873" s="25"/>
      <c r="E873" s="25"/>
    </row>
    <row r="874" spans="1:5" s="15" customFormat="1" ht="12.95" customHeight="1">
      <c r="A874" s="25" t="s">
        <v>3917</v>
      </c>
      <c r="B874" s="25"/>
      <c r="C874" s="25" t="s">
        <v>3904</v>
      </c>
      <c r="D874" s="25"/>
      <c r="E874" s="25"/>
    </row>
    <row r="875" spans="1:5" s="15" customFormat="1" ht="12.95" customHeight="1">
      <c r="A875" s="25" t="s">
        <v>3918</v>
      </c>
      <c r="B875" s="25"/>
      <c r="C875" s="25" t="s">
        <v>3912</v>
      </c>
      <c r="D875" s="25"/>
      <c r="E875" s="25"/>
    </row>
    <row r="876" spans="1:5" s="15" customFormat="1" ht="12.95" customHeight="1">
      <c r="A876" s="25" t="s">
        <v>3919</v>
      </c>
      <c r="B876" s="25"/>
      <c r="C876" s="25" t="s">
        <v>3916</v>
      </c>
      <c r="D876" s="25"/>
      <c r="E876" s="25"/>
    </row>
    <row r="877" spans="1:5" s="15" customFormat="1" ht="12.95" customHeight="1">
      <c r="A877" s="25" t="s">
        <v>3920</v>
      </c>
      <c r="B877" s="25"/>
      <c r="C877" s="25" t="s">
        <v>3904</v>
      </c>
      <c r="D877" s="25"/>
      <c r="E877" s="25"/>
    </row>
    <row r="878" spans="1:5" s="15" customFormat="1" ht="12.95" customHeight="1">
      <c r="A878" s="25" t="s">
        <v>3921</v>
      </c>
      <c r="B878" s="25"/>
      <c r="C878" s="25" t="s">
        <v>3912</v>
      </c>
      <c r="D878" s="25"/>
      <c r="E878" s="25"/>
    </row>
    <row r="879" spans="1:5" s="15" customFormat="1" ht="12.95" customHeight="1">
      <c r="A879" s="25" t="s">
        <v>717</v>
      </c>
      <c r="B879" s="25"/>
      <c r="C879" s="25" t="s">
        <v>3922</v>
      </c>
      <c r="D879" s="25"/>
      <c r="E879" s="25"/>
    </row>
    <row r="880" spans="1:5" s="15" customFormat="1" ht="12.95" customHeight="1">
      <c r="A880" s="25" t="s">
        <v>717</v>
      </c>
      <c r="B880" s="25"/>
      <c r="C880" s="25" t="s">
        <v>3922</v>
      </c>
      <c r="D880" s="25"/>
      <c r="E880" s="25"/>
    </row>
    <row r="881" spans="1:5" s="15" customFormat="1" ht="12.95" customHeight="1">
      <c r="A881" s="25" t="s">
        <v>474</v>
      </c>
      <c r="B881" s="25"/>
      <c r="C881" s="25" t="s">
        <v>3923</v>
      </c>
      <c r="D881" s="25"/>
      <c r="E881" s="25"/>
    </row>
    <row r="882" spans="1:5" s="15" customFormat="1" ht="12.95" customHeight="1">
      <c r="A882" s="25" t="s">
        <v>2665</v>
      </c>
      <c r="B882" s="25"/>
      <c r="C882" s="25" t="s">
        <v>3924</v>
      </c>
      <c r="D882" s="25"/>
      <c r="E882" s="25"/>
    </row>
    <row r="883" spans="1:5" s="15" customFormat="1" ht="12.95" customHeight="1">
      <c r="A883" s="25" t="s">
        <v>1125</v>
      </c>
      <c r="B883" s="25"/>
      <c r="C883" s="25" t="s">
        <v>3925</v>
      </c>
      <c r="D883" s="25"/>
      <c r="E883" s="25"/>
    </row>
    <row r="884" spans="1:5" s="15" customFormat="1" ht="12.95" customHeight="1">
      <c r="A884" s="25" t="s">
        <v>642</v>
      </c>
      <c r="B884" s="25"/>
      <c r="C884" s="25" t="s">
        <v>3926</v>
      </c>
      <c r="D884" s="25"/>
      <c r="E884" s="25"/>
    </row>
    <row r="885" spans="1:5" s="15" customFormat="1" ht="12.95" customHeight="1">
      <c r="A885" s="25" t="s">
        <v>1013</v>
      </c>
      <c r="B885" s="25"/>
      <c r="C885" s="25" t="s">
        <v>3927</v>
      </c>
      <c r="D885" s="25"/>
      <c r="E885" s="25"/>
    </row>
    <row r="886" spans="1:5" s="15" customFormat="1" ht="12.95" customHeight="1">
      <c r="A886" s="25" t="s">
        <v>1319</v>
      </c>
      <c r="B886" s="25"/>
      <c r="C886" s="25" t="s">
        <v>3928</v>
      </c>
      <c r="D886" s="25"/>
      <c r="E886" s="25"/>
    </row>
    <row r="887" spans="1:5" s="15" customFormat="1" ht="12.95" customHeight="1">
      <c r="A887" s="25" t="s">
        <v>1253</v>
      </c>
      <c r="B887" s="25"/>
      <c r="C887" s="25" t="s">
        <v>3929</v>
      </c>
      <c r="D887" s="25"/>
      <c r="E887" s="25"/>
    </row>
    <row r="888" spans="1:5" s="15" customFormat="1" ht="12.95" customHeight="1">
      <c r="A888" s="25" t="s">
        <v>2178</v>
      </c>
      <c r="B888" s="25"/>
      <c r="C888" s="25" t="s">
        <v>3930</v>
      </c>
      <c r="D888" s="25"/>
      <c r="E888" s="25"/>
    </row>
    <row r="889" spans="1:5" s="15" customFormat="1" ht="12.95" customHeight="1">
      <c r="A889" s="25" t="s">
        <v>414</v>
      </c>
      <c r="B889" s="25"/>
      <c r="C889" s="25" t="s">
        <v>3931</v>
      </c>
      <c r="D889" s="25"/>
      <c r="E889" s="25"/>
    </row>
    <row r="890" spans="1:5" s="15" customFormat="1" ht="12.95" customHeight="1">
      <c r="A890" s="25" t="s">
        <v>3932</v>
      </c>
      <c r="B890" s="25"/>
      <c r="C890" s="25" t="s">
        <v>3928</v>
      </c>
      <c r="D890" s="25"/>
      <c r="E890" s="25"/>
    </row>
    <row r="891" spans="1:5" s="15" customFormat="1" ht="12.95" customHeight="1">
      <c r="A891" s="25" t="s">
        <v>3933</v>
      </c>
      <c r="B891" s="25"/>
      <c r="C891" s="25" t="s">
        <v>3934</v>
      </c>
      <c r="D891" s="25"/>
      <c r="E891" s="25"/>
    </row>
    <row r="892" spans="1:5" s="15" customFormat="1" ht="12.95" customHeight="1">
      <c r="A892" s="25" t="s">
        <v>1504</v>
      </c>
      <c r="B892" s="25"/>
      <c r="C892" s="25" t="s">
        <v>3929</v>
      </c>
      <c r="D892" s="25"/>
      <c r="E892" s="25"/>
    </row>
    <row r="893" spans="1:5" s="15" customFormat="1" ht="12.95" customHeight="1">
      <c r="A893" s="25" t="s">
        <v>2405</v>
      </c>
      <c r="B893" s="25"/>
      <c r="C893" s="25" t="s">
        <v>3930</v>
      </c>
      <c r="D893" s="25"/>
      <c r="E893" s="25"/>
    </row>
    <row r="894" spans="1:5" s="15" customFormat="1" ht="12.95" customHeight="1">
      <c r="A894" s="25" t="s">
        <v>2463</v>
      </c>
      <c r="B894" s="25"/>
      <c r="C894" s="25" t="s">
        <v>3931</v>
      </c>
      <c r="D894" s="25"/>
      <c r="E894" s="25"/>
    </row>
    <row r="895" spans="1:5" s="15" customFormat="1" ht="12.95" customHeight="1">
      <c r="A895" s="25" t="s">
        <v>1173</v>
      </c>
      <c r="B895" s="25"/>
      <c r="C895" s="25" t="s">
        <v>3928</v>
      </c>
      <c r="D895" s="25"/>
      <c r="E895" s="25"/>
    </row>
    <row r="896" spans="1:5" s="15" customFormat="1" ht="12.95" customHeight="1">
      <c r="A896" s="25" t="s">
        <v>3935</v>
      </c>
      <c r="B896" s="25"/>
      <c r="C896" s="25" t="s">
        <v>3936</v>
      </c>
      <c r="D896" s="25"/>
      <c r="E896" s="25"/>
    </row>
    <row r="897" spans="1:5" s="15" customFormat="1" ht="12.95" customHeight="1">
      <c r="A897" s="25" t="s">
        <v>3937</v>
      </c>
      <c r="B897" s="25"/>
      <c r="C897" s="25" t="s">
        <v>3938</v>
      </c>
      <c r="D897" s="25"/>
      <c r="E897" s="25"/>
    </row>
    <row r="898" spans="1:5" s="15" customFormat="1" ht="12.95" customHeight="1">
      <c r="A898" s="25" t="s">
        <v>3939</v>
      </c>
      <c r="B898" s="25"/>
      <c r="C898" s="25" t="s">
        <v>3938</v>
      </c>
      <c r="D898" s="25"/>
      <c r="E898" s="25"/>
    </row>
    <row r="899" spans="1:5" s="15" customFormat="1" ht="12.95" customHeight="1">
      <c r="A899" s="25" t="s">
        <v>3940</v>
      </c>
      <c r="B899" s="25"/>
      <c r="C899" s="25" t="s">
        <v>3936</v>
      </c>
      <c r="D899" s="25"/>
      <c r="E899" s="25"/>
    </row>
    <row r="900" spans="1:5" s="15" customFormat="1" ht="12.95" customHeight="1">
      <c r="A900" s="25" t="s">
        <v>3941</v>
      </c>
      <c r="B900" s="25"/>
      <c r="C900" s="25" t="s">
        <v>3942</v>
      </c>
      <c r="D900" s="25"/>
      <c r="E900" s="25"/>
    </row>
    <row r="901" spans="1:5" s="15" customFormat="1" ht="12.95" customHeight="1">
      <c r="A901" s="25" t="s">
        <v>3943</v>
      </c>
      <c r="B901" s="25"/>
      <c r="C901" s="25" t="s">
        <v>3944</v>
      </c>
      <c r="D901" s="25"/>
      <c r="E901" s="25"/>
    </row>
    <row r="902" spans="1:5" s="15" customFormat="1" ht="12.95" customHeight="1">
      <c r="A902" s="25" t="s">
        <v>3945</v>
      </c>
      <c r="B902" s="25"/>
      <c r="C902" s="25" t="s">
        <v>3946</v>
      </c>
      <c r="D902" s="25"/>
      <c r="E902" s="25"/>
    </row>
    <row r="903" spans="1:5" s="15" customFormat="1" ht="12.95" customHeight="1">
      <c r="A903" s="25" t="s">
        <v>3947</v>
      </c>
      <c r="B903" s="25"/>
      <c r="C903" s="25" t="s">
        <v>3948</v>
      </c>
      <c r="D903" s="25"/>
      <c r="E903" s="25"/>
    </row>
    <row r="904" spans="1:5" s="15" customFormat="1" ht="12.95" customHeight="1">
      <c r="A904" s="25" t="s">
        <v>3949</v>
      </c>
      <c r="B904" s="25"/>
      <c r="C904" s="25" t="s">
        <v>3950</v>
      </c>
      <c r="D904" s="25"/>
      <c r="E904" s="25"/>
    </row>
    <row r="905" spans="1:5" s="15" customFormat="1" ht="12.95" customHeight="1">
      <c r="A905" s="25" t="s">
        <v>3951</v>
      </c>
      <c r="B905" s="25"/>
      <c r="C905" s="25" t="s">
        <v>3944</v>
      </c>
      <c r="D905" s="25"/>
      <c r="E905" s="25"/>
    </row>
    <row r="906" spans="1:5" s="15" customFormat="1" ht="12.95" customHeight="1">
      <c r="A906" s="25" t="s">
        <v>3952</v>
      </c>
      <c r="B906" s="25"/>
      <c r="C906" s="25" t="s">
        <v>3946</v>
      </c>
      <c r="D906" s="25"/>
      <c r="E906" s="25"/>
    </row>
    <row r="907" spans="1:5" s="15" customFormat="1" ht="12.95" customHeight="1">
      <c r="A907" s="25" t="s">
        <v>3953</v>
      </c>
      <c r="B907" s="25"/>
      <c r="C907" s="25" t="s">
        <v>3950</v>
      </c>
      <c r="D907" s="25"/>
      <c r="E907" s="25"/>
    </row>
    <row r="908" spans="1:5" s="15" customFormat="1" ht="12.95" customHeight="1">
      <c r="A908" s="25" t="s">
        <v>3954</v>
      </c>
      <c r="B908" s="25"/>
      <c r="C908" s="25" t="s">
        <v>3955</v>
      </c>
      <c r="D908" s="25"/>
      <c r="E908" s="25"/>
    </row>
    <row r="909" spans="1:5" s="15" customFormat="1" ht="12.95" customHeight="1">
      <c r="A909" s="25" t="s">
        <v>3956</v>
      </c>
      <c r="B909" s="25"/>
      <c r="C909" s="25" t="s">
        <v>3955</v>
      </c>
      <c r="D909" s="25"/>
      <c r="E909" s="25"/>
    </row>
    <row r="910" spans="1:5" s="15" customFormat="1" ht="12.95" customHeight="1">
      <c r="A910" s="25" t="s">
        <v>3957</v>
      </c>
      <c r="B910" s="25"/>
      <c r="C910" s="25" t="s">
        <v>3958</v>
      </c>
      <c r="D910" s="25"/>
      <c r="E910" s="25"/>
    </row>
    <row r="911" spans="1:5" s="15" customFormat="1" ht="12.95" customHeight="1">
      <c r="A911" s="25" t="s">
        <v>3959</v>
      </c>
      <c r="B911" s="25"/>
      <c r="C911" s="25" t="s">
        <v>3960</v>
      </c>
      <c r="D911" s="25"/>
      <c r="E911" s="25"/>
    </row>
    <row r="912" spans="1:5" s="15" customFormat="1" ht="12.95" customHeight="1">
      <c r="A912" s="25" t="s">
        <v>3961</v>
      </c>
      <c r="B912" s="25"/>
      <c r="C912" s="25" t="s">
        <v>3960</v>
      </c>
      <c r="D912" s="25"/>
      <c r="E912" s="25"/>
    </row>
    <row r="913" spans="1:5" s="15" customFormat="1" ht="12.95" customHeight="1">
      <c r="A913" s="25" t="s">
        <v>3962</v>
      </c>
      <c r="B913" s="25"/>
      <c r="C913" s="25" t="s">
        <v>3963</v>
      </c>
      <c r="D913" s="25"/>
      <c r="E913" s="25"/>
    </row>
    <row r="914" spans="1:5" s="15" customFormat="1" ht="12.95" customHeight="1">
      <c r="A914" s="25" t="s">
        <v>3964</v>
      </c>
      <c r="B914" s="25"/>
      <c r="C914" s="25" t="s">
        <v>3965</v>
      </c>
      <c r="D914" s="25"/>
      <c r="E914" s="25"/>
    </row>
    <row r="915" spans="1:5" s="15" customFormat="1" ht="12.95" customHeight="1">
      <c r="A915" s="25" t="s">
        <v>3966</v>
      </c>
      <c r="B915" s="25"/>
      <c r="C915" s="25" t="s">
        <v>3967</v>
      </c>
      <c r="D915" s="25"/>
      <c r="E915" s="25"/>
    </row>
    <row r="916" spans="1:5" s="15" customFormat="1" ht="12.95" customHeight="1">
      <c r="A916" s="25" t="s">
        <v>3968</v>
      </c>
      <c r="B916" s="25"/>
      <c r="C916" s="25" t="s">
        <v>3969</v>
      </c>
      <c r="D916" s="25"/>
      <c r="E916" s="25"/>
    </row>
    <row r="917" spans="1:5" s="15" customFormat="1" ht="12.95" customHeight="1">
      <c r="A917" s="25" t="s">
        <v>3970</v>
      </c>
      <c r="B917" s="25"/>
      <c r="C917" s="25" t="s">
        <v>3303</v>
      </c>
      <c r="D917" s="25"/>
      <c r="E917" s="25"/>
    </row>
    <row r="918" spans="1:5" s="15" customFormat="1" ht="12.95" customHeight="1">
      <c r="A918" s="25" t="s">
        <v>3971</v>
      </c>
      <c r="B918" s="25"/>
      <c r="C918" s="25" t="s">
        <v>3303</v>
      </c>
      <c r="D918" s="25"/>
      <c r="E918" s="25"/>
    </row>
    <row r="919" spans="1:5" s="15" customFormat="1" ht="12.95" customHeight="1">
      <c r="A919" s="25" t="s">
        <v>3972</v>
      </c>
      <c r="B919" s="25"/>
      <c r="C919" s="25" t="s">
        <v>3973</v>
      </c>
      <c r="D919" s="25"/>
      <c r="E919" s="25"/>
    </row>
    <row r="920" spans="1:5" s="15" customFormat="1" ht="12.95" customHeight="1">
      <c r="A920" s="25" t="s">
        <v>3974</v>
      </c>
      <c r="B920" s="25"/>
      <c r="C920" s="25" t="s">
        <v>3975</v>
      </c>
      <c r="D920" s="25"/>
      <c r="E920" s="25"/>
    </row>
    <row r="921" spans="1:5" s="15" customFormat="1" ht="12.95" customHeight="1">
      <c r="A921" s="25" t="s">
        <v>3976</v>
      </c>
      <c r="B921" s="25"/>
      <c r="C921" s="25" t="s">
        <v>3977</v>
      </c>
      <c r="D921" s="25"/>
      <c r="E921" s="25"/>
    </row>
    <row r="922" spans="1:5" s="15" customFormat="1" ht="12.95" customHeight="1">
      <c r="A922" s="25" t="s">
        <v>3978</v>
      </c>
      <c r="B922" s="25"/>
      <c r="C922" s="25" t="s">
        <v>3977</v>
      </c>
      <c r="D922" s="25"/>
      <c r="E922" s="25"/>
    </row>
    <row r="923" spans="1:5" s="15" customFormat="1" ht="12.95" customHeight="1">
      <c r="A923" s="25" t="s">
        <v>3979</v>
      </c>
      <c r="B923" s="25"/>
      <c r="C923" s="25" t="s">
        <v>3980</v>
      </c>
      <c r="D923" s="25"/>
      <c r="E923" s="25"/>
    </row>
    <row r="924" spans="1:5" s="15" customFormat="1" ht="12.95" customHeight="1">
      <c r="A924" s="25" t="s">
        <v>3981</v>
      </c>
      <c r="B924" s="25"/>
      <c r="C924" s="25" t="s">
        <v>3982</v>
      </c>
      <c r="D924" s="25"/>
      <c r="E924" s="25"/>
    </row>
    <row r="925" spans="1:5" s="15" customFormat="1" ht="12.95" customHeight="1">
      <c r="A925" s="25" t="s">
        <v>3983</v>
      </c>
      <c r="B925" s="25"/>
      <c r="C925" s="25" t="s">
        <v>3982</v>
      </c>
      <c r="D925" s="25"/>
      <c r="E925" s="25"/>
    </row>
    <row r="926" spans="1:5" s="15" customFormat="1" ht="12.95" customHeight="1">
      <c r="A926" s="25" t="s">
        <v>3984</v>
      </c>
      <c r="B926" s="25"/>
      <c r="C926" s="25" t="s">
        <v>3982</v>
      </c>
      <c r="D926" s="25"/>
      <c r="E926" s="25"/>
    </row>
    <row r="927" spans="1:5" s="15" customFormat="1" ht="12.95" customHeight="1">
      <c r="A927" s="25" t="s">
        <v>3985</v>
      </c>
      <c r="B927" s="25"/>
      <c r="C927" s="25" t="s">
        <v>3986</v>
      </c>
      <c r="D927" s="25"/>
      <c r="E927" s="25"/>
    </row>
    <row r="928" spans="1:5" s="15" customFormat="1" ht="12.95" customHeight="1">
      <c r="A928" s="25" t="s">
        <v>3987</v>
      </c>
      <c r="B928" s="25"/>
      <c r="C928" s="25" t="s">
        <v>3988</v>
      </c>
      <c r="D928" s="25"/>
      <c r="E928" s="25"/>
    </row>
    <row r="929" spans="1:5" s="15" customFormat="1" ht="12.95" customHeight="1">
      <c r="A929" s="25" t="s">
        <v>3989</v>
      </c>
      <c r="B929" s="25"/>
      <c r="C929" s="25" t="s">
        <v>3990</v>
      </c>
      <c r="D929" s="25"/>
      <c r="E929" s="25"/>
    </row>
    <row r="930" spans="1:5" s="15" customFormat="1" ht="12.95" customHeight="1">
      <c r="A930" s="25" t="s">
        <v>3991</v>
      </c>
      <c r="B930" s="25"/>
      <c r="C930" s="25" t="s">
        <v>3988</v>
      </c>
      <c r="D930" s="25"/>
      <c r="E930" s="25"/>
    </row>
    <row r="931" spans="1:5" s="15" customFormat="1" ht="12.95" customHeight="1">
      <c r="A931" s="25" t="s">
        <v>3992</v>
      </c>
      <c r="B931" s="25"/>
      <c r="C931" s="25" t="s">
        <v>3993</v>
      </c>
      <c r="D931" s="25"/>
      <c r="E931" s="25"/>
    </row>
    <row r="932" spans="1:5" s="15" customFormat="1" ht="12.95" customHeight="1">
      <c r="A932" s="25" t="s">
        <v>3994</v>
      </c>
      <c r="B932" s="25"/>
      <c r="C932" s="25" t="s">
        <v>3995</v>
      </c>
      <c r="D932" s="25"/>
      <c r="E932" s="25"/>
    </row>
    <row r="933" spans="1:5" s="15" customFormat="1" ht="12.95" customHeight="1">
      <c r="A933" s="25" t="s">
        <v>3996</v>
      </c>
      <c r="B933" s="25"/>
      <c r="C933" s="25" t="s">
        <v>3988</v>
      </c>
      <c r="D933" s="25"/>
      <c r="E933" s="25"/>
    </row>
    <row r="934" spans="1:5" s="15" customFormat="1" ht="12.95" customHeight="1">
      <c r="A934" s="25" t="s">
        <v>3997</v>
      </c>
      <c r="B934" s="25"/>
      <c r="C934" s="25" t="s">
        <v>3998</v>
      </c>
      <c r="D934" s="25"/>
      <c r="E934" s="25"/>
    </row>
    <row r="935" spans="1:5" s="15" customFormat="1" ht="12.95" customHeight="1">
      <c r="A935" s="25" t="s">
        <v>3999</v>
      </c>
      <c r="B935" s="25"/>
      <c r="C935" s="25" t="s">
        <v>4000</v>
      </c>
      <c r="D935" s="25"/>
      <c r="E935" s="25"/>
    </row>
    <row r="936" spans="1:5" s="15" customFormat="1" ht="12.95" customHeight="1">
      <c r="A936" s="25" t="s">
        <v>4001</v>
      </c>
      <c r="B936" s="25"/>
      <c r="C936" s="25" t="s">
        <v>4000</v>
      </c>
      <c r="D936" s="25"/>
      <c r="E936" s="25"/>
    </row>
    <row r="937" spans="1:5" s="15" customFormat="1" ht="12.95" customHeight="1">
      <c r="A937" s="25" t="s">
        <v>4002</v>
      </c>
      <c r="B937" s="25"/>
      <c r="C937" s="25" t="s">
        <v>4003</v>
      </c>
      <c r="D937" s="25"/>
      <c r="E937" s="25"/>
    </row>
    <row r="938" spans="1:5" s="15" customFormat="1" ht="12.95" customHeight="1">
      <c r="A938" s="25" t="s">
        <v>4004</v>
      </c>
      <c r="B938" s="25"/>
      <c r="C938" s="25" t="s">
        <v>4005</v>
      </c>
      <c r="D938" s="25"/>
      <c r="E938" s="25"/>
    </row>
    <row r="939" spans="1:5" s="15" customFormat="1" ht="12.95" customHeight="1">
      <c r="A939" s="25" t="s">
        <v>4006</v>
      </c>
      <c r="B939" s="25"/>
      <c r="C939" s="25" t="s">
        <v>4005</v>
      </c>
      <c r="D939" s="25"/>
      <c r="E939" s="25"/>
    </row>
    <row r="940" spans="1:5" s="15" customFormat="1" ht="12.95" customHeight="1">
      <c r="A940" s="25" t="s">
        <v>4007</v>
      </c>
      <c r="B940" s="25"/>
      <c r="C940" s="25" t="s">
        <v>4008</v>
      </c>
      <c r="D940" s="25"/>
      <c r="E940" s="25"/>
    </row>
    <row r="941" spans="1:5" s="15" customFormat="1" ht="12.95" customHeight="1">
      <c r="A941" s="25" t="s">
        <v>4009</v>
      </c>
      <c r="B941" s="25"/>
      <c r="C941" s="25" t="s">
        <v>4010</v>
      </c>
      <c r="D941" s="25"/>
      <c r="E941" s="25"/>
    </row>
    <row r="942" spans="1:5" s="15" customFormat="1" ht="12.95" customHeight="1">
      <c r="A942" s="25" t="s">
        <v>4011</v>
      </c>
      <c r="B942" s="25"/>
      <c r="C942" s="25" t="s">
        <v>4012</v>
      </c>
      <c r="D942" s="25"/>
      <c r="E942" s="25"/>
    </row>
    <row r="943" spans="1:5" s="15" customFormat="1" ht="12.95" customHeight="1">
      <c r="A943" s="25" t="s">
        <v>4013</v>
      </c>
      <c r="B943" s="25"/>
      <c r="C943" s="25" t="s">
        <v>4014</v>
      </c>
      <c r="D943" s="25"/>
      <c r="E943" s="25"/>
    </row>
    <row r="944" spans="1:5" s="15" customFormat="1" ht="12.95" customHeight="1">
      <c r="A944" s="25" t="s">
        <v>4015</v>
      </c>
      <c r="B944" s="25"/>
      <c r="C944" s="25" t="s">
        <v>4016</v>
      </c>
      <c r="D944" s="25"/>
      <c r="E944" s="25"/>
    </row>
    <row r="945" spans="1:5" s="15" customFormat="1" ht="12.95" customHeight="1">
      <c r="A945" s="25" t="s">
        <v>4017</v>
      </c>
      <c r="B945" s="25"/>
      <c r="C945" s="25" t="s">
        <v>4018</v>
      </c>
      <c r="D945" s="25"/>
      <c r="E945" s="25"/>
    </row>
    <row r="946" spans="1:5" s="15" customFormat="1" ht="12.95" customHeight="1">
      <c r="A946" s="25" t="s">
        <v>4019</v>
      </c>
      <c r="B946" s="25"/>
      <c r="C946" s="25" t="s">
        <v>4010</v>
      </c>
      <c r="D946" s="25"/>
      <c r="E946" s="25"/>
    </row>
    <row r="947" spans="1:5" s="15" customFormat="1" ht="12.95" customHeight="1">
      <c r="A947" s="25" t="s">
        <v>4020</v>
      </c>
      <c r="B947" s="25"/>
      <c r="C947" s="25" t="s">
        <v>4012</v>
      </c>
      <c r="D947" s="25"/>
      <c r="E947" s="25"/>
    </row>
    <row r="948" spans="1:5" s="15" customFormat="1" ht="12.95" customHeight="1">
      <c r="A948" s="25" t="s">
        <v>4021</v>
      </c>
      <c r="B948" s="25"/>
      <c r="C948" s="25" t="s">
        <v>4014</v>
      </c>
      <c r="D948" s="25"/>
      <c r="E948" s="25"/>
    </row>
    <row r="949" spans="1:5" s="15" customFormat="1" ht="12.95" customHeight="1">
      <c r="A949" s="25" t="s">
        <v>4022</v>
      </c>
      <c r="B949" s="25"/>
      <c r="C949" s="25" t="s">
        <v>4023</v>
      </c>
      <c r="D949" s="25"/>
      <c r="E949" s="25"/>
    </row>
    <row r="950" spans="1:5" s="15" customFormat="1" ht="12.95" customHeight="1">
      <c r="A950" s="25" t="s">
        <v>4024</v>
      </c>
      <c r="B950" s="25"/>
      <c r="C950" s="25" t="s">
        <v>4010</v>
      </c>
      <c r="D950" s="25"/>
      <c r="E950" s="25"/>
    </row>
    <row r="951" spans="1:5" s="15" customFormat="1" ht="12.95" customHeight="1">
      <c r="A951" s="25" t="s">
        <v>4025</v>
      </c>
      <c r="B951" s="25"/>
      <c r="C951" s="25" t="s">
        <v>4026</v>
      </c>
      <c r="D951" s="25"/>
      <c r="E951" s="25"/>
    </row>
    <row r="952" spans="1:5" s="15" customFormat="1" ht="12.95" customHeight="1">
      <c r="A952" s="25" t="s">
        <v>4027</v>
      </c>
      <c r="B952" s="25"/>
      <c r="C952" s="25" t="s">
        <v>4028</v>
      </c>
      <c r="D952" s="25"/>
      <c r="E952" s="25"/>
    </row>
    <row r="953" spans="1:5" s="15" customFormat="1" ht="12.95" customHeight="1">
      <c r="A953" s="25" t="s">
        <v>4029</v>
      </c>
      <c r="B953" s="25"/>
      <c r="C953" s="25" t="s">
        <v>4030</v>
      </c>
      <c r="D953" s="25"/>
      <c r="E953" s="25"/>
    </row>
    <row r="954" spans="1:5" s="15" customFormat="1" ht="12.95" customHeight="1">
      <c r="A954" s="25" t="s">
        <v>4031</v>
      </c>
      <c r="B954" s="25"/>
      <c r="C954" s="25" t="s">
        <v>4032</v>
      </c>
      <c r="D954" s="25"/>
      <c r="E954" s="25"/>
    </row>
    <row r="955" spans="1:5" s="15" customFormat="1" ht="12.95" customHeight="1">
      <c r="A955" s="25" t="s">
        <v>4033</v>
      </c>
      <c r="B955" s="25"/>
      <c r="C955" s="25" t="s">
        <v>4034</v>
      </c>
      <c r="D955" s="25"/>
      <c r="E955" s="25"/>
    </row>
    <row r="956" spans="1:5" s="15" customFormat="1" ht="12.95" customHeight="1">
      <c r="A956" s="25" t="s">
        <v>4035</v>
      </c>
      <c r="B956" s="25"/>
      <c r="C956" s="25" t="s">
        <v>4036</v>
      </c>
      <c r="D956" s="25"/>
      <c r="E956" s="25"/>
    </row>
    <row r="957" spans="1:5" s="15" customFormat="1" ht="12.95" customHeight="1">
      <c r="A957" s="25" t="s">
        <v>4037</v>
      </c>
      <c r="B957" s="25"/>
      <c r="C957" s="25" t="s">
        <v>4038</v>
      </c>
      <c r="D957" s="25"/>
      <c r="E957" s="25"/>
    </row>
    <row r="958" spans="1:5" s="15" customFormat="1" ht="12.95" customHeight="1">
      <c r="A958" s="25" t="s">
        <v>4039</v>
      </c>
      <c r="B958" s="25"/>
      <c r="C958" s="25" t="s">
        <v>4040</v>
      </c>
      <c r="D958" s="25"/>
      <c r="E958" s="25"/>
    </row>
    <row r="959" spans="1:5" s="15" customFormat="1" ht="12.95" customHeight="1">
      <c r="A959" s="25" t="s">
        <v>4041</v>
      </c>
      <c r="B959" s="25"/>
      <c r="C959" s="25" t="s">
        <v>4042</v>
      </c>
      <c r="D959" s="25"/>
      <c r="E959" s="25"/>
    </row>
    <row r="960" spans="1:5" s="15" customFormat="1" ht="12.95" customHeight="1">
      <c r="A960" s="25" t="s">
        <v>4043</v>
      </c>
      <c r="B960" s="25"/>
      <c r="C960" s="25" t="s">
        <v>4044</v>
      </c>
      <c r="D960" s="25"/>
      <c r="E960" s="25"/>
    </row>
    <row r="961" spans="1:5" s="15" customFormat="1" ht="12.95" customHeight="1">
      <c r="A961" s="25" t="s">
        <v>4045</v>
      </c>
      <c r="B961" s="25"/>
      <c r="C961" s="25" t="s">
        <v>4046</v>
      </c>
      <c r="D961" s="25"/>
      <c r="E961" s="25"/>
    </row>
    <row r="962" spans="1:5" s="15" customFormat="1" ht="12.95" customHeight="1">
      <c r="A962" s="25" t="s">
        <v>4047</v>
      </c>
      <c r="B962" s="25"/>
      <c r="C962" s="25" t="s">
        <v>4048</v>
      </c>
      <c r="D962" s="25"/>
      <c r="E962" s="25"/>
    </row>
    <row r="963" spans="1:5" s="15" customFormat="1" ht="26.1" customHeight="1">
      <c r="A963" s="25" t="s">
        <v>4049</v>
      </c>
      <c r="B963" s="25"/>
      <c r="C963" s="25" t="s">
        <v>4050</v>
      </c>
      <c r="D963" s="25"/>
      <c r="E963" s="25"/>
    </row>
    <row r="964" spans="1:5" s="15" customFormat="1" ht="12.95" customHeight="1">
      <c r="A964" s="25" t="s">
        <v>4051</v>
      </c>
      <c r="B964" s="25"/>
      <c r="C964" s="25" t="s">
        <v>4052</v>
      </c>
      <c r="D964" s="25"/>
      <c r="E964" s="25"/>
    </row>
    <row r="965" spans="1:5" s="15" customFormat="1" ht="12.95" customHeight="1">
      <c r="A965" s="25" t="s">
        <v>4053</v>
      </c>
      <c r="B965" s="25"/>
      <c r="C965" s="25" t="s">
        <v>4054</v>
      </c>
      <c r="D965" s="25"/>
      <c r="E965" s="25"/>
    </row>
    <row r="966" spans="1:5" s="15" customFormat="1" ht="12.95" customHeight="1">
      <c r="A966" s="25" t="s">
        <v>4055</v>
      </c>
      <c r="B966" s="25"/>
      <c r="C966" s="25" t="s">
        <v>4056</v>
      </c>
      <c r="D966" s="25"/>
      <c r="E966" s="25"/>
    </row>
    <row r="967" spans="1:5" s="15" customFormat="1" ht="12.95" customHeight="1">
      <c r="A967" s="25" t="s">
        <v>4057</v>
      </c>
      <c r="B967" s="25"/>
      <c r="C967" s="25" t="s">
        <v>4058</v>
      </c>
      <c r="D967" s="25"/>
      <c r="E967" s="25"/>
    </row>
    <row r="968" spans="1:5" s="15" customFormat="1" ht="12.95" customHeight="1">
      <c r="A968" s="25" t="s">
        <v>4059</v>
      </c>
      <c r="B968" s="25"/>
      <c r="C968" s="25" t="s">
        <v>4060</v>
      </c>
      <c r="D968" s="25"/>
      <c r="E968" s="25"/>
    </row>
    <row r="969" spans="1:5" s="15" customFormat="1" ht="12.95" customHeight="1">
      <c r="A969" s="25" t="s">
        <v>4061</v>
      </c>
      <c r="B969" s="25"/>
      <c r="C969" s="25" t="s">
        <v>4062</v>
      </c>
      <c r="D969" s="25"/>
      <c r="E969" s="25"/>
    </row>
    <row r="970" spans="1:5" s="15" customFormat="1" ht="12.95" customHeight="1">
      <c r="A970" s="25" t="s">
        <v>4063</v>
      </c>
      <c r="B970" s="25"/>
      <c r="C970" s="25" t="s">
        <v>4064</v>
      </c>
      <c r="D970" s="25"/>
      <c r="E970" s="25"/>
    </row>
    <row r="971" spans="1:5" s="15" customFormat="1" ht="12.95" customHeight="1">
      <c r="A971" s="25" t="s">
        <v>4065</v>
      </c>
      <c r="B971" s="25"/>
      <c r="C971" s="25" t="s">
        <v>4066</v>
      </c>
      <c r="D971" s="25"/>
      <c r="E971" s="25"/>
    </row>
    <row r="972" spans="1:5" s="15" customFormat="1" ht="12.95" customHeight="1">
      <c r="A972" s="25" t="s">
        <v>4067</v>
      </c>
      <c r="B972" s="25"/>
      <c r="C972" s="25" t="s">
        <v>4068</v>
      </c>
      <c r="D972" s="25"/>
      <c r="E972" s="25"/>
    </row>
    <row r="973" spans="1:5" s="15" customFormat="1" ht="12.95" customHeight="1">
      <c r="A973" s="25" t="s">
        <v>4069</v>
      </c>
      <c r="B973" s="25"/>
      <c r="C973" s="25" t="s">
        <v>4070</v>
      </c>
      <c r="D973" s="25"/>
      <c r="E973" s="25"/>
    </row>
    <row r="974" spans="1:5" s="15" customFormat="1" ht="12.95" customHeight="1">
      <c r="A974" s="25" t="s">
        <v>4071</v>
      </c>
      <c r="B974" s="25"/>
      <c r="C974" s="25" t="s">
        <v>4072</v>
      </c>
      <c r="D974" s="25"/>
      <c r="E974" s="25"/>
    </row>
    <row r="975" spans="1:5" s="15" customFormat="1" ht="12.95" customHeight="1">
      <c r="A975" s="25" t="s">
        <v>4073</v>
      </c>
      <c r="B975" s="25"/>
      <c r="C975" s="25" t="s">
        <v>4074</v>
      </c>
      <c r="D975" s="25"/>
      <c r="E975" s="25"/>
    </row>
    <row r="976" spans="1:5" s="15" customFormat="1" ht="12.95" customHeight="1">
      <c r="A976" s="25" t="s">
        <v>4075</v>
      </c>
      <c r="B976" s="25"/>
      <c r="C976" s="25" t="s">
        <v>4076</v>
      </c>
      <c r="D976" s="25"/>
      <c r="E976" s="25"/>
    </row>
    <row r="977" spans="1:5" s="15" customFormat="1" ht="12.95" customHeight="1">
      <c r="A977" s="25" t="s">
        <v>4077</v>
      </c>
      <c r="B977" s="25"/>
      <c r="C977" s="25" t="s">
        <v>4078</v>
      </c>
      <c r="D977" s="25"/>
      <c r="E977" s="25"/>
    </row>
    <row r="978" spans="1:5" s="15" customFormat="1" ht="12.95" customHeight="1">
      <c r="A978" s="25" t="s">
        <v>4079</v>
      </c>
      <c r="B978" s="25"/>
      <c r="C978" s="25" t="s">
        <v>4080</v>
      </c>
      <c r="D978" s="25"/>
      <c r="E978" s="25"/>
    </row>
    <row r="979" spans="1:5" s="15" customFormat="1" ht="12.95" customHeight="1">
      <c r="A979" s="25" t="s">
        <v>4081</v>
      </c>
      <c r="B979" s="25"/>
      <c r="C979" s="25" t="s">
        <v>4082</v>
      </c>
      <c r="D979" s="25"/>
      <c r="E979" s="25"/>
    </row>
    <row r="980" spans="1:5" s="15" customFormat="1" ht="12.95" customHeight="1">
      <c r="A980" s="25" t="s">
        <v>4083</v>
      </c>
      <c r="B980" s="25"/>
      <c r="C980" s="25" t="s">
        <v>4084</v>
      </c>
      <c r="D980" s="25"/>
      <c r="E980" s="25"/>
    </row>
    <row r="981" spans="1:5" s="15" customFormat="1" ht="12.95" customHeight="1">
      <c r="A981" s="25" t="s">
        <v>4085</v>
      </c>
      <c r="B981" s="25"/>
      <c r="C981" s="25" t="s">
        <v>4086</v>
      </c>
      <c r="D981" s="25"/>
      <c r="E981" s="25"/>
    </row>
  </sheetData>
  <mergeCells count="911">
    <mergeCell ref="A981:B981"/>
    <mergeCell ref="C981:E981"/>
    <mergeCell ref="A976:B976"/>
    <mergeCell ref="C976:E976"/>
    <mergeCell ref="A977:B977"/>
    <mergeCell ref="C977:E977"/>
    <mergeCell ref="A978:B978"/>
    <mergeCell ref="C978:E978"/>
    <mergeCell ref="A979:B979"/>
    <mergeCell ref="C979:E979"/>
    <mergeCell ref="A980:B980"/>
    <mergeCell ref="C980:E980"/>
    <mergeCell ref="A971:B971"/>
    <mergeCell ref="C971:E971"/>
    <mergeCell ref="A972:B972"/>
    <mergeCell ref="C972:E972"/>
    <mergeCell ref="A973:B973"/>
    <mergeCell ref="C973:E973"/>
    <mergeCell ref="A974:B974"/>
    <mergeCell ref="C974:E974"/>
    <mergeCell ref="A975:B975"/>
    <mergeCell ref="C975:E975"/>
    <mergeCell ref="A966:B966"/>
    <mergeCell ref="C966:E966"/>
    <mergeCell ref="A967:B967"/>
    <mergeCell ref="C967:E967"/>
    <mergeCell ref="A968:B968"/>
    <mergeCell ref="C968:E968"/>
    <mergeCell ref="A969:B969"/>
    <mergeCell ref="C969:E969"/>
    <mergeCell ref="A970:B970"/>
    <mergeCell ref="C970:E970"/>
    <mergeCell ref="A961:B961"/>
    <mergeCell ref="C961:E961"/>
    <mergeCell ref="A962:B962"/>
    <mergeCell ref="C962:E962"/>
    <mergeCell ref="A963:B963"/>
    <mergeCell ref="C963:E963"/>
    <mergeCell ref="A964:B964"/>
    <mergeCell ref="C964:E964"/>
    <mergeCell ref="A965:B965"/>
    <mergeCell ref="C965:E965"/>
    <mergeCell ref="A956:B956"/>
    <mergeCell ref="C956:E956"/>
    <mergeCell ref="A957:B957"/>
    <mergeCell ref="C957:E957"/>
    <mergeCell ref="A958:B958"/>
    <mergeCell ref="C958:E958"/>
    <mergeCell ref="A959:B959"/>
    <mergeCell ref="C959:E959"/>
    <mergeCell ref="A960:B960"/>
    <mergeCell ref="C960:E960"/>
    <mergeCell ref="A951:B951"/>
    <mergeCell ref="C951:E951"/>
    <mergeCell ref="A952:B952"/>
    <mergeCell ref="C952:E952"/>
    <mergeCell ref="A953:B953"/>
    <mergeCell ref="C953:E953"/>
    <mergeCell ref="A954:B954"/>
    <mergeCell ref="C954:E954"/>
    <mergeCell ref="A955:B955"/>
    <mergeCell ref="C955:E955"/>
    <mergeCell ref="A946:B946"/>
    <mergeCell ref="C946:E946"/>
    <mergeCell ref="A947:B947"/>
    <mergeCell ref="C947:E947"/>
    <mergeCell ref="A948:B948"/>
    <mergeCell ref="C948:E948"/>
    <mergeCell ref="A949:B949"/>
    <mergeCell ref="C949:E949"/>
    <mergeCell ref="A950:B950"/>
    <mergeCell ref="C950:E950"/>
    <mergeCell ref="A941:B941"/>
    <mergeCell ref="C941:E941"/>
    <mergeCell ref="A942:B942"/>
    <mergeCell ref="C942:E942"/>
    <mergeCell ref="A943:B943"/>
    <mergeCell ref="C943:E943"/>
    <mergeCell ref="A944:B944"/>
    <mergeCell ref="C944:E944"/>
    <mergeCell ref="A945:B945"/>
    <mergeCell ref="C945:E945"/>
    <mergeCell ref="A936:B936"/>
    <mergeCell ref="C936:E936"/>
    <mergeCell ref="A937:B937"/>
    <mergeCell ref="C937:E937"/>
    <mergeCell ref="A938:B938"/>
    <mergeCell ref="C938:E938"/>
    <mergeCell ref="A939:B939"/>
    <mergeCell ref="C939:E939"/>
    <mergeCell ref="A940:B940"/>
    <mergeCell ref="C940:E940"/>
    <mergeCell ref="A931:B931"/>
    <mergeCell ref="C931:E931"/>
    <mergeCell ref="A932:B932"/>
    <mergeCell ref="C932:E932"/>
    <mergeCell ref="A933:B933"/>
    <mergeCell ref="C933:E933"/>
    <mergeCell ref="A934:B934"/>
    <mergeCell ref="C934:E934"/>
    <mergeCell ref="A935:B935"/>
    <mergeCell ref="C935:E935"/>
    <mergeCell ref="A926:B926"/>
    <mergeCell ref="C926:E926"/>
    <mergeCell ref="A927:B927"/>
    <mergeCell ref="C927:E927"/>
    <mergeCell ref="A928:B928"/>
    <mergeCell ref="C928:E928"/>
    <mergeCell ref="A929:B929"/>
    <mergeCell ref="C929:E929"/>
    <mergeCell ref="A930:B930"/>
    <mergeCell ref="C930:E930"/>
    <mergeCell ref="A921:B921"/>
    <mergeCell ref="C921:E921"/>
    <mergeCell ref="A922:B922"/>
    <mergeCell ref="C922:E922"/>
    <mergeCell ref="A923:B923"/>
    <mergeCell ref="C923:E923"/>
    <mergeCell ref="A924:B924"/>
    <mergeCell ref="C924:E924"/>
    <mergeCell ref="A925:B925"/>
    <mergeCell ref="C925:E925"/>
    <mergeCell ref="A916:B916"/>
    <mergeCell ref="C916:E916"/>
    <mergeCell ref="A917:B917"/>
    <mergeCell ref="C917:E917"/>
    <mergeCell ref="A918:B918"/>
    <mergeCell ref="C918:E918"/>
    <mergeCell ref="A919:B919"/>
    <mergeCell ref="C919:E919"/>
    <mergeCell ref="A920:B920"/>
    <mergeCell ref="C920:E920"/>
    <mergeCell ref="A911:B911"/>
    <mergeCell ref="C911:E911"/>
    <mergeCell ref="A912:B912"/>
    <mergeCell ref="C912:E912"/>
    <mergeCell ref="A913:B913"/>
    <mergeCell ref="C913:E913"/>
    <mergeCell ref="A914:B914"/>
    <mergeCell ref="C914:E914"/>
    <mergeCell ref="A915:B915"/>
    <mergeCell ref="C915:E915"/>
    <mergeCell ref="A906:B906"/>
    <mergeCell ref="C906:E906"/>
    <mergeCell ref="A907:B907"/>
    <mergeCell ref="C907:E907"/>
    <mergeCell ref="A908:B908"/>
    <mergeCell ref="C908:E908"/>
    <mergeCell ref="A909:B909"/>
    <mergeCell ref="C909:E909"/>
    <mergeCell ref="A910:B910"/>
    <mergeCell ref="C910:E910"/>
    <mergeCell ref="A901:B901"/>
    <mergeCell ref="C901:E901"/>
    <mergeCell ref="A902:B902"/>
    <mergeCell ref="C902:E902"/>
    <mergeCell ref="A903:B903"/>
    <mergeCell ref="C903:E903"/>
    <mergeCell ref="A904:B904"/>
    <mergeCell ref="C904:E904"/>
    <mergeCell ref="A905:B905"/>
    <mergeCell ref="C905:E905"/>
    <mergeCell ref="A896:B896"/>
    <mergeCell ref="C896:E896"/>
    <mergeCell ref="A897:B897"/>
    <mergeCell ref="C897:E897"/>
    <mergeCell ref="A898:B898"/>
    <mergeCell ref="C898:E898"/>
    <mergeCell ref="A899:B899"/>
    <mergeCell ref="C899:E899"/>
    <mergeCell ref="A900:B900"/>
    <mergeCell ref="C900:E900"/>
    <mergeCell ref="A891:B891"/>
    <mergeCell ref="C891:E891"/>
    <mergeCell ref="A892:B892"/>
    <mergeCell ref="C892:E892"/>
    <mergeCell ref="A893:B893"/>
    <mergeCell ref="C893:E893"/>
    <mergeCell ref="A894:B894"/>
    <mergeCell ref="C894:E894"/>
    <mergeCell ref="A895:B895"/>
    <mergeCell ref="C895:E895"/>
    <mergeCell ref="A886:B886"/>
    <mergeCell ref="C886:E886"/>
    <mergeCell ref="A887:B887"/>
    <mergeCell ref="C887:E887"/>
    <mergeCell ref="A888:B888"/>
    <mergeCell ref="C888:E888"/>
    <mergeCell ref="A889:B889"/>
    <mergeCell ref="C889:E889"/>
    <mergeCell ref="A890:B890"/>
    <mergeCell ref="C890:E890"/>
    <mergeCell ref="A881:B881"/>
    <mergeCell ref="C881:E881"/>
    <mergeCell ref="A882:B882"/>
    <mergeCell ref="C882:E882"/>
    <mergeCell ref="A883:B883"/>
    <mergeCell ref="C883:E883"/>
    <mergeCell ref="A884:B884"/>
    <mergeCell ref="C884:E884"/>
    <mergeCell ref="A885:B885"/>
    <mergeCell ref="C885:E885"/>
    <mergeCell ref="A876:B876"/>
    <mergeCell ref="C876:E876"/>
    <mergeCell ref="A877:B877"/>
    <mergeCell ref="C877:E877"/>
    <mergeCell ref="A878:B878"/>
    <mergeCell ref="C878:E878"/>
    <mergeCell ref="A879:B879"/>
    <mergeCell ref="C879:E879"/>
    <mergeCell ref="A880:B880"/>
    <mergeCell ref="C880:E880"/>
    <mergeCell ref="A871:B871"/>
    <mergeCell ref="C871:E871"/>
    <mergeCell ref="A872:B872"/>
    <mergeCell ref="C872:E872"/>
    <mergeCell ref="A873:B873"/>
    <mergeCell ref="C873:E873"/>
    <mergeCell ref="A874:B874"/>
    <mergeCell ref="C874:E874"/>
    <mergeCell ref="A875:B875"/>
    <mergeCell ref="C875:E875"/>
    <mergeCell ref="A866:B866"/>
    <mergeCell ref="C866:E866"/>
    <mergeCell ref="A867:B867"/>
    <mergeCell ref="C867:E867"/>
    <mergeCell ref="A868:B868"/>
    <mergeCell ref="C868:E868"/>
    <mergeCell ref="A869:B869"/>
    <mergeCell ref="C869:E869"/>
    <mergeCell ref="A870:B870"/>
    <mergeCell ref="C870:E870"/>
    <mergeCell ref="A861:B861"/>
    <mergeCell ref="C861:E861"/>
    <mergeCell ref="A862:B862"/>
    <mergeCell ref="C862:E862"/>
    <mergeCell ref="A863:B863"/>
    <mergeCell ref="C863:E863"/>
    <mergeCell ref="A864:B864"/>
    <mergeCell ref="C864:E864"/>
    <mergeCell ref="A865:B865"/>
    <mergeCell ref="C865:E865"/>
    <mergeCell ref="A856:B856"/>
    <mergeCell ref="C856:E856"/>
    <mergeCell ref="A857:B857"/>
    <mergeCell ref="C857:E857"/>
    <mergeCell ref="A858:B858"/>
    <mergeCell ref="C858:E858"/>
    <mergeCell ref="A859:B859"/>
    <mergeCell ref="C859:E859"/>
    <mergeCell ref="A860:B860"/>
    <mergeCell ref="C860:E860"/>
    <mergeCell ref="A851:B851"/>
    <mergeCell ref="C851:E851"/>
    <mergeCell ref="A852:B852"/>
    <mergeCell ref="C852:E852"/>
    <mergeCell ref="A853:B853"/>
    <mergeCell ref="C853:E853"/>
    <mergeCell ref="A854:B854"/>
    <mergeCell ref="C854:E854"/>
    <mergeCell ref="A855:B855"/>
    <mergeCell ref="C855:E855"/>
    <mergeCell ref="A846:B846"/>
    <mergeCell ref="C846:E846"/>
    <mergeCell ref="A847:B847"/>
    <mergeCell ref="C847:E847"/>
    <mergeCell ref="A848:B848"/>
    <mergeCell ref="C848:E848"/>
    <mergeCell ref="A849:B849"/>
    <mergeCell ref="C849:E849"/>
    <mergeCell ref="A850:B850"/>
    <mergeCell ref="C850:E850"/>
    <mergeCell ref="A841:B841"/>
    <mergeCell ref="C841:E841"/>
    <mergeCell ref="A842:B842"/>
    <mergeCell ref="C842:E842"/>
    <mergeCell ref="A843:B843"/>
    <mergeCell ref="C843:E843"/>
    <mergeCell ref="A844:B844"/>
    <mergeCell ref="C844:E844"/>
    <mergeCell ref="A845:B845"/>
    <mergeCell ref="C845:E845"/>
    <mergeCell ref="A836:B836"/>
    <mergeCell ref="C836:E836"/>
    <mergeCell ref="A837:B837"/>
    <mergeCell ref="C837:E837"/>
    <mergeCell ref="A838:B838"/>
    <mergeCell ref="C838:E838"/>
    <mergeCell ref="A839:B839"/>
    <mergeCell ref="C839:E839"/>
    <mergeCell ref="A840:B840"/>
    <mergeCell ref="C840:E840"/>
    <mergeCell ref="A831:B831"/>
    <mergeCell ref="C831:E831"/>
    <mergeCell ref="A832:B832"/>
    <mergeCell ref="C832:E832"/>
    <mergeCell ref="A833:B833"/>
    <mergeCell ref="C833:E833"/>
    <mergeCell ref="A834:B834"/>
    <mergeCell ref="C834:E834"/>
    <mergeCell ref="A835:B835"/>
    <mergeCell ref="C835:E835"/>
    <mergeCell ref="A826:B826"/>
    <mergeCell ref="C826:E826"/>
    <mergeCell ref="A827:B827"/>
    <mergeCell ref="C827:E827"/>
    <mergeCell ref="A828:B828"/>
    <mergeCell ref="C828:E828"/>
    <mergeCell ref="A829:B829"/>
    <mergeCell ref="C829:E829"/>
    <mergeCell ref="A830:B830"/>
    <mergeCell ref="C830:E830"/>
    <mergeCell ref="A821:B821"/>
    <mergeCell ref="C821:E821"/>
    <mergeCell ref="A822:B822"/>
    <mergeCell ref="C822:E822"/>
    <mergeCell ref="A823:B823"/>
    <mergeCell ref="C823:E823"/>
    <mergeCell ref="A824:B824"/>
    <mergeCell ref="C824:E824"/>
    <mergeCell ref="A825:B825"/>
    <mergeCell ref="C825:E825"/>
    <mergeCell ref="A816:B816"/>
    <mergeCell ref="C816:E816"/>
    <mergeCell ref="A817:B817"/>
    <mergeCell ref="C817:E817"/>
    <mergeCell ref="A818:B818"/>
    <mergeCell ref="C818:E818"/>
    <mergeCell ref="A819:B819"/>
    <mergeCell ref="C819:E819"/>
    <mergeCell ref="A820:B820"/>
    <mergeCell ref="C820:E820"/>
    <mergeCell ref="A811:B811"/>
    <mergeCell ref="C811:E811"/>
    <mergeCell ref="A812:B812"/>
    <mergeCell ref="C812:E812"/>
    <mergeCell ref="A813:B813"/>
    <mergeCell ref="C813:E813"/>
    <mergeCell ref="A814:B814"/>
    <mergeCell ref="C814:E814"/>
    <mergeCell ref="A815:B815"/>
    <mergeCell ref="C815:E815"/>
    <mergeCell ref="A806:B806"/>
    <mergeCell ref="C806:E806"/>
    <mergeCell ref="A807:B807"/>
    <mergeCell ref="C807:E807"/>
    <mergeCell ref="A808:B808"/>
    <mergeCell ref="C808:E808"/>
    <mergeCell ref="A809:B809"/>
    <mergeCell ref="C809:E809"/>
    <mergeCell ref="A810:B810"/>
    <mergeCell ref="C810:E810"/>
    <mergeCell ref="A801:B801"/>
    <mergeCell ref="C801:E801"/>
    <mergeCell ref="A802:B802"/>
    <mergeCell ref="C802:E802"/>
    <mergeCell ref="A803:B803"/>
    <mergeCell ref="C803:E803"/>
    <mergeCell ref="A804:B804"/>
    <mergeCell ref="C804:E804"/>
    <mergeCell ref="A805:B805"/>
    <mergeCell ref="C805:E805"/>
    <mergeCell ref="A796:B796"/>
    <mergeCell ref="C796:E796"/>
    <mergeCell ref="A797:B797"/>
    <mergeCell ref="C797:E797"/>
    <mergeCell ref="A798:B798"/>
    <mergeCell ref="C798:E798"/>
    <mergeCell ref="A799:B799"/>
    <mergeCell ref="C799:E799"/>
    <mergeCell ref="A800:B800"/>
    <mergeCell ref="C800:E800"/>
    <mergeCell ref="A791:B791"/>
    <mergeCell ref="C791:E791"/>
    <mergeCell ref="A792:B792"/>
    <mergeCell ref="C792:E792"/>
    <mergeCell ref="A793:B793"/>
    <mergeCell ref="C793:E793"/>
    <mergeCell ref="A794:B794"/>
    <mergeCell ref="C794:E794"/>
    <mergeCell ref="A795:B795"/>
    <mergeCell ref="C795:E795"/>
    <mergeCell ref="A786:B786"/>
    <mergeCell ref="C786:E786"/>
    <mergeCell ref="A787:B787"/>
    <mergeCell ref="C787:E787"/>
    <mergeCell ref="A788:B788"/>
    <mergeCell ref="C788:E788"/>
    <mergeCell ref="A789:B789"/>
    <mergeCell ref="C789:E789"/>
    <mergeCell ref="A790:B790"/>
    <mergeCell ref="C790:E790"/>
    <mergeCell ref="A781:B781"/>
    <mergeCell ref="C781:E781"/>
    <mergeCell ref="A782:B782"/>
    <mergeCell ref="C782:E782"/>
    <mergeCell ref="A783:B783"/>
    <mergeCell ref="C783:E783"/>
    <mergeCell ref="A784:B784"/>
    <mergeCell ref="C784:E784"/>
    <mergeCell ref="A785:B785"/>
    <mergeCell ref="C785:E785"/>
    <mergeCell ref="A776:B776"/>
    <mergeCell ref="C776:E776"/>
    <mergeCell ref="A777:B777"/>
    <mergeCell ref="C777:E777"/>
    <mergeCell ref="A778:B778"/>
    <mergeCell ref="C778:E778"/>
    <mergeCell ref="A779:B779"/>
    <mergeCell ref="C779:E779"/>
    <mergeCell ref="A780:B780"/>
    <mergeCell ref="C780:E780"/>
    <mergeCell ref="A771:B771"/>
    <mergeCell ref="C771:E771"/>
    <mergeCell ref="A772:B772"/>
    <mergeCell ref="C772:E772"/>
    <mergeCell ref="A773:B773"/>
    <mergeCell ref="C773:E773"/>
    <mergeCell ref="A774:B774"/>
    <mergeCell ref="C774:E774"/>
    <mergeCell ref="A775:B775"/>
    <mergeCell ref="C775:E775"/>
    <mergeCell ref="A766:B766"/>
    <mergeCell ref="C766:E766"/>
    <mergeCell ref="A767:B767"/>
    <mergeCell ref="C767:E767"/>
    <mergeCell ref="A768:B768"/>
    <mergeCell ref="C768:E768"/>
    <mergeCell ref="A769:B769"/>
    <mergeCell ref="C769:E769"/>
    <mergeCell ref="A770:B770"/>
    <mergeCell ref="C770:E770"/>
    <mergeCell ref="A761:B761"/>
    <mergeCell ref="C761:E761"/>
    <mergeCell ref="A762:B762"/>
    <mergeCell ref="C762:E762"/>
    <mergeCell ref="A763:B763"/>
    <mergeCell ref="C763:E763"/>
    <mergeCell ref="A764:B764"/>
    <mergeCell ref="C764:E764"/>
    <mergeCell ref="A765:B765"/>
    <mergeCell ref="C765:E765"/>
    <mergeCell ref="A756:B756"/>
    <mergeCell ref="C756:E756"/>
    <mergeCell ref="A757:B757"/>
    <mergeCell ref="C757:E757"/>
    <mergeCell ref="A758:B758"/>
    <mergeCell ref="C758:E758"/>
    <mergeCell ref="A759:B759"/>
    <mergeCell ref="C759:E759"/>
    <mergeCell ref="A760:B760"/>
    <mergeCell ref="C760:E760"/>
    <mergeCell ref="A751:B751"/>
    <mergeCell ref="C751:E751"/>
    <mergeCell ref="A752:B752"/>
    <mergeCell ref="C752:E752"/>
    <mergeCell ref="A753:B753"/>
    <mergeCell ref="C753:E753"/>
    <mergeCell ref="A754:B754"/>
    <mergeCell ref="C754:E754"/>
    <mergeCell ref="A755:B755"/>
    <mergeCell ref="C755:E755"/>
    <mergeCell ref="A746:B746"/>
    <mergeCell ref="C746:E746"/>
    <mergeCell ref="A747:B747"/>
    <mergeCell ref="C747:E747"/>
    <mergeCell ref="A748:B748"/>
    <mergeCell ref="C748:E748"/>
    <mergeCell ref="A749:B749"/>
    <mergeCell ref="C749:E749"/>
    <mergeCell ref="A750:B750"/>
    <mergeCell ref="C750:E750"/>
    <mergeCell ref="A741:B741"/>
    <mergeCell ref="C741:E741"/>
    <mergeCell ref="A742:B742"/>
    <mergeCell ref="C742:E742"/>
    <mergeCell ref="A743:B743"/>
    <mergeCell ref="C743:E743"/>
    <mergeCell ref="A744:B744"/>
    <mergeCell ref="C744:E744"/>
    <mergeCell ref="A745:B745"/>
    <mergeCell ref="C745:E745"/>
    <mergeCell ref="A736:B736"/>
    <mergeCell ref="C736:E736"/>
    <mergeCell ref="A737:B737"/>
    <mergeCell ref="C737:E737"/>
    <mergeCell ref="A738:B738"/>
    <mergeCell ref="C738:E738"/>
    <mergeCell ref="A739:B739"/>
    <mergeCell ref="C739:E739"/>
    <mergeCell ref="A740:B740"/>
    <mergeCell ref="C740:E740"/>
    <mergeCell ref="A731:B731"/>
    <mergeCell ref="C731:E731"/>
    <mergeCell ref="A732:B732"/>
    <mergeCell ref="C732:E732"/>
    <mergeCell ref="A733:B733"/>
    <mergeCell ref="C733:E733"/>
    <mergeCell ref="A734:B734"/>
    <mergeCell ref="C734:E734"/>
    <mergeCell ref="A735:B735"/>
    <mergeCell ref="C735:E735"/>
    <mergeCell ref="A726:B726"/>
    <mergeCell ref="C726:E726"/>
    <mergeCell ref="A727:B727"/>
    <mergeCell ref="C727:E727"/>
    <mergeCell ref="A728:B728"/>
    <mergeCell ref="C728:E728"/>
    <mergeCell ref="A729:B729"/>
    <mergeCell ref="C729:E729"/>
    <mergeCell ref="A730:B730"/>
    <mergeCell ref="C730:E730"/>
    <mergeCell ref="A721:B721"/>
    <mergeCell ref="C721:E721"/>
    <mergeCell ref="A722:B722"/>
    <mergeCell ref="C722:E722"/>
    <mergeCell ref="A723:B723"/>
    <mergeCell ref="C723:E723"/>
    <mergeCell ref="A724:B724"/>
    <mergeCell ref="C724:E724"/>
    <mergeCell ref="A725:B725"/>
    <mergeCell ref="C725:E725"/>
    <mergeCell ref="A716:B716"/>
    <mergeCell ref="C716:E716"/>
    <mergeCell ref="A717:B717"/>
    <mergeCell ref="C717:E717"/>
    <mergeCell ref="A718:B718"/>
    <mergeCell ref="C718:E718"/>
    <mergeCell ref="A719:B719"/>
    <mergeCell ref="C719:E719"/>
    <mergeCell ref="A720:B720"/>
    <mergeCell ref="C720:E720"/>
    <mergeCell ref="A711:B711"/>
    <mergeCell ref="C711:E711"/>
    <mergeCell ref="A712:B712"/>
    <mergeCell ref="C712:E712"/>
    <mergeCell ref="A713:B713"/>
    <mergeCell ref="C713:E713"/>
    <mergeCell ref="A714:B714"/>
    <mergeCell ref="C714:E714"/>
    <mergeCell ref="A715:B715"/>
    <mergeCell ref="C715:E715"/>
    <mergeCell ref="A706:B706"/>
    <mergeCell ref="C706:E706"/>
    <mergeCell ref="A707:B707"/>
    <mergeCell ref="C707:E707"/>
    <mergeCell ref="A708:B708"/>
    <mergeCell ref="C708:E708"/>
    <mergeCell ref="A709:B709"/>
    <mergeCell ref="C709:E709"/>
    <mergeCell ref="A710:B710"/>
    <mergeCell ref="C710:E710"/>
    <mergeCell ref="A701:B701"/>
    <mergeCell ref="C701:E701"/>
    <mergeCell ref="A702:B702"/>
    <mergeCell ref="C702:E702"/>
    <mergeCell ref="A703:B703"/>
    <mergeCell ref="C703:E703"/>
    <mergeCell ref="A704:B704"/>
    <mergeCell ref="C704:E704"/>
    <mergeCell ref="A705:B705"/>
    <mergeCell ref="C705:E705"/>
    <mergeCell ref="A696:B696"/>
    <mergeCell ref="C696:E696"/>
    <mergeCell ref="A697:B697"/>
    <mergeCell ref="C697:E697"/>
    <mergeCell ref="A698:B698"/>
    <mergeCell ref="C698:E698"/>
    <mergeCell ref="A699:B699"/>
    <mergeCell ref="C699:E699"/>
    <mergeCell ref="A700:B700"/>
    <mergeCell ref="C700:E700"/>
    <mergeCell ref="A691:B691"/>
    <mergeCell ref="C691:E691"/>
    <mergeCell ref="A692:B692"/>
    <mergeCell ref="C692:E692"/>
    <mergeCell ref="A693:B693"/>
    <mergeCell ref="C693:E693"/>
    <mergeCell ref="A694:B694"/>
    <mergeCell ref="C694:E694"/>
    <mergeCell ref="A695:B695"/>
    <mergeCell ref="C695:E695"/>
    <mergeCell ref="A686:B686"/>
    <mergeCell ref="C686:E686"/>
    <mergeCell ref="A687:B687"/>
    <mergeCell ref="C687:E687"/>
    <mergeCell ref="A688:B688"/>
    <mergeCell ref="C688:E688"/>
    <mergeCell ref="A689:B689"/>
    <mergeCell ref="C689:E689"/>
    <mergeCell ref="A690:B690"/>
    <mergeCell ref="C690:E690"/>
    <mergeCell ref="A681:B681"/>
    <mergeCell ref="C681:E681"/>
    <mergeCell ref="A682:B682"/>
    <mergeCell ref="C682:E682"/>
    <mergeCell ref="A683:B683"/>
    <mergeCell ref="C683:E683"/>
    <mergeCell ref="A684:B684"/>
    <mergeCell ref="C684:E684"/>
    <mergeCell ref="A685:B685"/>
    <mergeCell ref="C685:E685"/>
    <mergeCell ref="A676:B676"/>
    <mergeCell ref="C676:E676"/>
    <mergeCell ref="A677:B677"/>
    <mergeCell ref="C677:E677"/>
    <mergeCell ref="A678:B678"/>
    <mergeCell ref="C678:E678"/>
    <mergeCell ref="A679:B679"/>
    <mergeCell ref="C679:E679"/>
    <mergeCell ref="A680:B680"/>
    <mergeCell ref="C680:E680"/>
    <mergeCell ref="A671:B671"/>
    <mergeCell ref="C671:E671"/>
    <mergeCell ref="A672:B672"/>
    <mergeCell ref="C672:E672"/>
    <mergeCell ref="A673:B673"/>
    <mergeCell ref="C673:E673"/>
    <mergeCell ref="A674:B674"/>
    <mergeCell ref="C674:E674"/>
    <mergeCell ref="A675:B675"/>
    <mergeCell ref="C675:E675"/>
    <mergeCell ref="A666:B666"/>
    <mergeCell ref="C666:E666"/>
    <mergeCell ref="A667:B667"/>
    <mergeCell ref="C667:E667"/>
    <mergeCell ref="A668:B668"/>
    <mergeCell ref="C668:E668"/>
    <mergeCell ref="A669:B669"/>
    <mergeCell ref="C669:E669"/>
    <mergeCell ref="A670:B670"/>
    <mergeCell ref="C670:E670"/>
    <mergeCell ref="A661:B661"/>
    <mergeCell ref="C661:E661"/>
    <mergeCell ref="A662:B662"/>
    <mergeCell ref="C662:E662"/>
    <mergeCell ref="A663:B663"/>
    <mergeCell ref="C663:E663"/>
    <mergeCell ref="A664:B664"/>
    <mergeCell ref="C664:E664"/>
    <mergeCell ref="A665:B665"/>
    <mergeCell ref="C665:E665"/>
    <mergeCell ref="A656:B656"/>
    <mergeCell ref="C656:E656"/>
    <mergeCell ref="A657:B657"/>
    <mergeCell ref="C657:E657"/>
    <mergeCell ref="A658:B658"/>
    <mergeCell ref="C658:E658"/>
    <mergeCell ref="A659:B659"/>
    <mergeCell ref="C659:E659"/>
    <mergeCell ref="A660:B660"/>
    <mergeCell ref="C660:E660"/>
    <mergeCell ref="A651:B651"/>
    <mergeCell ref="C651:E651"/>
    <mergeCell ref="A652:B652"/>
    <mergeCell ref="C652:E652"/>
    <mergeCell ref="A653:B653"/>
    <mergeCell ref="C653:E653"/>
    <mergeCell ref="A654:B654"/>
    <mergeCell ref="C654:E654"/>
    <mergeCell ref="A655:B655"/>
    <mergeCell ref="C655:E655"/>
    <mergeCell ref="A646:B646"/>
    <mergeCell ref="C646:E646"/>
    <mergeCell ref="A647:B647"/>
    <mergeCell ref="C647:E647"/>
    <mergeCell ref="A648:B648"/>
    <mergeCell ref="C648:E648"/>
    <mergeCell ref="A649:B649"/>
    <mergeCell ref="C649:E649"/>
    <mergeCell ref="A650:B650"/>
    <mergeCell ref="C650:E650"/>
    <mergeCell ref="A641:B641"/>
    <mergeCell ref="C641:E641"/>
    <mergeCell ref="A642:B642"/>
    <mergeCell ref="C642:E642"/>
    <mergeCell ref="A643:B643"/>
    <mergeCell ref="C643:E643"/>
    <mergeCell ref="A644:B644"/>
    <mergeCell ref="C644:E644"/>
    <mergeCell ref="A645:B645"/>
    <mergeCell ref="C645:E645"/>
    <mergeCell ref="A636:B636"/>
    <mergeCell ref="C636:E636"/>
    <mergeCell ref="A637:B637"/>
    <mergeCell ref="C637:E637"/>
    <mergeCell ref="A638:B638"/>
    <mergeCell ref="C638:E638"/>
    <mergeCell ref="A639:B639"/>
    <mergeCell ref="C639:E639"/>
    <mergeCell ref="A640:B640"/>
    <mergeCell ref="C640:E640"/>
    <mergeCell ref="A631:B631"/>
    <mergeCell ref="C631:E631"/>
    <mergeCell ref="A632:B632"/>
    <mergeCell ref="C632:E632"/>
    <mergeCell ref="A633:B633"/>
    <mergeCell ref="C633:E633"/>
    <mergeCell ref="A634:B634"/>
    <mergeCell ref="C634:E634"/>
    <mergeCell ref="A635:B635"/>
    <mergeCell ref="C635:E635"/>
    <mergeCell ref="A626:B626"/>
    <mergeCell ref="C626:E626"/>
    <mergeCell ref="A627:B627"/>
    <mergeCell ref="C627:E627"/>
    <mergeCell ref="A628:B628"/>
    <mergeCell ref="C628:E628"/>
    <mergeCell ref="A629:B629"/>
    <mergeCell ref="C629:E629"/>
    <mergeCell ref="A630:B630"/>
    <mergeCell ref="C630:E630"/>
    <mergeCell ref="A621:B621"/>
    <mergeCell ref="C621:E621"/>
    <mergeCell ref="A622:B622"/>
    <mergeCell ref="C622:E622"/>
    <mergeCell ref="A623:B623"/>
    <mergeCell ref="C623:E623"/>
    <mergeCell ref="A624:B624"/>
    <mergeCell ref="C624:E624"/>
    <mergeCell ref="A625:B625"/>
    <mergeCell ref="C625:E625"/>
    <mergeCell ref="A616:B616"/>
    <mergeCell ref="C616:E616"/>
    <mergeCell ref="A617:B617"/>
    <mergeCell ref="C617:E617"/>
    <mergeCell ref="A618:B618"/>
    <mergeCell ref="C618:E618"/>
    <mergeCell ref="A619:B619"/>
    <mergeCell ref="C619:E619"/>
    <mergeCell ref="A620:B620"/>
    <mergeCell ref="C620:E620"/>
    <mergeCell ref="A611:B611"/>
    <mergeCell ref="C611:E611"/>
    <mergeCell ref="A612:B612"/>
    <mergeCell ref="C612:E612"/>
    <mergeCell ref="A613:B613"/>
    <mergeCell ref="C613:E613"/>
    <mergeCell ref="A614:B614"/>
    <mergeCell ref="C614:E614"/>
    <mergeCell ref="A615:B615"/>
    <mergeCell ref="C615:E615"/>
    <mergeCell ref="A606:B606"/>
    <mergeCell ref="C606:E606"/>
    <mergeCell ref="A607:B607"/>
    <mergeCell ref="C607:E607"/>
    <mergeCell ref="A608:B608"/>
    <mergeCell ref="C608:E608"/>
    <mergeCell ref="A609:B609"/>
    <mergeCell ref="C609:E609"/>
    <mergeCell ref="A610:B610"/>
    <mergeCell ref="C610:E610"/>
    <mergeCell ref="A601:B601"/>
    <mergeCell ref="C601:E601"/>
    <mergeCell ref="A602:B602"/>
    <mergeCell ref="C602:E602"/>
    <mergeCell ref="A603:B603"/>
    <mergeCell ref="C603:E603"/>
    <mergeCell ref="A604:B604"/>
    <mergeCell ref="C604:E604"/>
    <mergeCell ref="A605:B605"/>
    <mergeCell ref="C605:E605"/>
    <mergeCell ref="A596:B596"/>
    <mergeCell ref="C596:E596"/>
    <mergeCell ref="A597:B597"/>
    <mergeCell ref="C597:E597"/>
    <mergeCell ref="A598:B598"/>
    <mergeCell ref="C598:E598"/>
    <mergeCell ref="A599:B599"/>
    <mergeCell ref="C599:E599"/>
    <mergeCell ref="A600:B600"/>
    <mergeCell ref="C600:E600"/>
    <mergeCell ref="A591:B591"/>
    <mergeCell ref="C591:E591"/>
    <mergeCell ref="A592:B592"/>
    <mergeCell ref="C592:E592"/>
    <mergeCell ref="A593:B593"/>
    <mergeCell ref="C593:E593"/>
    <mergeCell ref="A594:B594"/>
    <mergeCell ref="C594:E594"/>
    <mergeCell ref="A595:B595"/>
    <mergeCell ref="C595:E595"/>
    <mergeCell ref="A586:B586"/>
    <mergeCell ref="C586:E586"/>
    <mergeCell ref="A587:B587"/>
    <mergeCell ref="C587:E587"/>
    <mergeCell ref="A588:B588"/>
    <mergeCell ref="C588:E588"/>
    <mergeCell ref="A589:B589"/>
    <mergeCell ref="C589:E589"/>
    <mergeCell ref="A590:B590"/>
    <mergeCell ref="C590:E590"/>
    <mergeCell ref="A581:B581"/>
    <mergeCell ref="C581:E581"/>
    <mergeCell ref="A582:B582"/>
    <mergeCell ref="C582:E582"/>
    <mergeCell ref="A583:B583"/>
    <mergeCell ref="C583:E583"/>
    <mergeCell ref="A584:B584"/>
    <mergeCell ref="C584:E584"/>
    <mergeCell ref="A585:B585"/>
    <mergeCell ref="C585:E585"/>
    <mergeCell ref="A576:B576"/>
    <mergeCell ref="C576:E576"/>
    <mergeCell ref="A577:B577"/>
    <mergeCell ref="C577:E577"/>
    <mergeCell ref="A578:B578"/>
    <mergeCell ref="C578:E578"/>
    <mergeCell ref="A579:B579"/>
    <mergeCell ref="C579:E579"/>
    <mergeCell ref="A580:B580"/>
    <mergeCell ref="C580:E580"/>
    <mergeCell ref="A571:B571"/>
    <mergeCell ref="C571:E571"/>
    <mergeCell ref="A572:B572"/>
    <mergeCell ref="C572:E572"/>
    <mergeCell ref="A573:B573"/>
    <mergeCell ref="C573:E573"/>
    <mergeCell ref="A574:B574"/>
    <mergeCell ref="C574:E574"/>
    <mergeCell ref="A575:B575"/>
    <mergeCell ref="C575:E575"/>
    <mergeCell ref="A566:B566"/>
    <mergeCell ref="C566:E566"/>
    <mergeCell ref="A567:B567"/>
    <mergeCell ref="C567:E567"/>
    <mergeCell ref="A568:B568"/>
    <mergeCell ref="C568:E568"/>
    <mergeCell ref="A569:B569"/>
    <mergeCell ref="C569:E569"/>
    <mergeCell ref="A570:B570"/>
    <mergeCell ref="C570:E570"/>
    <mergeCell ref="A561:B561"/>
    <mergeCell ref="C561:E561"/>
    <mergeCell ref="A562:B562"/>
    <mergeCell ref="C562:E562"/>
    <mergeCell ref="A563:B563"/>
    <mergeCell ref="C563:E563"/>
    <mergeCell ref="A564:B564"/>
    <mergeCell ref="C564:E564"/>
    <mergeCell ref="A565:B565"/>
    <mergeCell ref="C565:E565"/>
    <mergeCell ref="A556:B556"/>
    <mergeCell ref="C556:E556"/>
    <mergeCell ref="A557:B557"/>
    <mergeCell ref="C557:E557"/>
    <mergeCell ref="A558:B558"/>
    <mergeCell ref="C558:E558"/>
    <mergeCell ref="A559:B559"/>
    <mergeCell ref="C559:E559"/>
    <mergeCell ref="A560:B560"/>
    <mergeCell ref="C560:E560"/>
    <mergeCell ref="A551:B551"/>
    <mergeCell ref="C551:E551"/>
    <mergeCell ref="A552:B552"/>
    <mergeCell ref="C552:E552"/>
    <mergeCell ref="A553:B553"/>
    <mergeCell ref="C553:E553"/>
    <mergeCell ref="A554:B554"/>
    <mergeCell ref="C554:E554"/>
    <mergeCell ref="A555:B555"/>
    <mergeCell ref="C555:E555"/>
    <mergeCell ref="A546:B546"/>
    <mergeCell ref="C546:E546"/>
    <mergeCell ref="A547:B547"/>
    <mergeCell ref="C547:E547"/>
    <mergeCell ref="A548:B548"/>
    <mergeCell ref="C548:E548"/>
    <mergeCell ref="A549:B549"/>
    <mergeCell ref="C549:E549"/>
    <mergeCell ref="A550:B550"/>
    <mergeCell ref="C550:E550"/>
    <mergeCell ref="A541:B541"/>
    <mergeCell ref="C541:E541"/>
    <mergeCell ref="A542:B542"/>
    <mergeCell ref="C542:E542"/>
    <mergeCell ref="A543:B543"/>
    <mergeCell ref="C543:E543"/>
    <mergeCell ref="A544:B544"/>
    <mergeCell ref="C544:E544"/>
    <mergeCell ref="A545:B545"/>
    <mergeCell ref="C545:E545"/>
    <mergeCell ref="A536:B536"/>
    <mergeCell ref="C536:E536"/>
    <mergeCell ref="A537:B537"/>
    <mergeCell ref="C537:E537"/>
    <mergeCell ref="A538:B538"/>
    <mergeCell ref="C538:E538"/>
    <mergeCell ref="A539:B539"/>
    <mergeCell ref="C539:E539"/>
    <mergeCell ref="A540:B540"/>
    <mergeCell ref="C540:E540"/>
    <mergeCell ref="A531:B531"/>
    <mergeCell ref="C531:E531"/>
    <mergeCell ref="A532:B532"/>
    <mergeCell ref="C532:E532"/>
    <mergeCell ref="A533:B533"/>
    <mergeCell ref="C533:E533"/>
    <mergeCell ref="A534:B534"/>
    <mergeCell ref="C534:E534"/>
    <mergeCell ref="A535:B535"/>
    <mergeCell ref="C535:E535"/>
    <mergeCell ref="A1:E1"/>
    <mergeCell ref="F1:I5"/>
    <mergeCell ref="J1:O1"/>
    <mergeCell ref="A2:E2"/>
    <mergeCell ref="J2:O5"/>
    <mergeCell ref="A3:E3"/>
    <mergeCell ref="A4:E4"/>
    <mergeCell ref="A5:E5"/>
    <mergeCell ref="A529:B529"/>
  </mergeCells>
  <pageMargins left="0.39370078740157483" right="0.39370078740157483" top="0.39370078740157483" bottom="0.39370078740157483" header="0" footer="0"/>
  <pageSetup paperSize="9" pageOrder="overThenDown"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2023-10-30T22:06:12Z</dcterms:modified>
</cp:coreProperties>
</file>